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Notice" sheetId="1" state="visible" r:id="rId3"/>
    <sheet name="Hypotheses" sheetId="2" state="visible" r:id="rId4"/>
    <sheet name="Capex" sheetId="3" state="visible" r:id="rId5"/>
    <sheet name="Compte de resultat" sheetId="4" state="visible" r:id="rId6"/>
    <sheet name="Tresorerie" sheetId="5" state="visible" r:id="rId7"/>
    <sheet name="Sensibilites" sheetId="6" state="visible" r:id="rId8"/>
    <sheet name="Scenario developpeur"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<sst xmlns="http://schemas.openxmlformats.org/spreadsheetml/2006/main" count="433" uniqueCount="330">
  <si>
    <t xml:space="preserve">MODELE FINANCIER - DATACENTER DE COLOCATION IA HAUTE DENSITE</t>
  </si>
  <si>
    <t xml:space="preserve">Terrain 8 ha - modele housing (baie, connectique, refroidissement) - client apporte GPU/serveurs/stockage</t>
  </si>
  <si>
    <t xml:space="preserve">LEGENDE DES COULEURS</t>
  </si>
  <si>
    <t xml:space="preserve">Bleu</t>
  </si>
  <si>
    <t xml:space="preserve">Hypothese saisie en dur. Ce sont les seules cellules a modifier.</t>
  </si>
  <si>
    <t xml:space="preserve">Fond jaune</t>
  </si>
  <si>
    <t xml:space="preserve">Hypothese critique. Elle pilote la rentabilite du projet.</t>
  </si>
  <si>
    <t xml:space="preserve">Noir</t>
  </si>
  <si>
    <t xml:space="preserve">Formule calculee. Ne pas ecraser.</t>
  </si>
  <si>
    <t xml:space="preserve">Vert</t>
  </si>
  <si>
    <t xml:space="preserve">Lien vers un autre onglet.</t>
  </si>
  <si>
    <t xml:space="preserve">STRUCTURE DU CLASSEUR</t>
  </si>
  <si>
    <t xml:space="preserve">Hypotheses</t>
  </si>
  <si>
    <t xml:space="preserve">Tous les parametres du modele. Point d'entree unique.</t>
  </si>
  <si>
    <t xml:space="preserve">Capex</t>
  </si>
  <si>
    <t xml:space="preserve">Investissement total et phasage par tranche de 5 MW.</t>
  </si>
  <si>
    <t xml:space="preserve">Compte de resultat</t>
  </si>
  <si>
    <t xml:space="preserve">P&amp;L 2026-2037, du developpement a la stabilisation.</t>
  </si>
  <si>
    <t xml:space="preserve">Tresorerie</t>
  </si>
  <si>
    <t xml:space="preserve">Flux, dette projet, TRI et VAN pour l'actionnaire.</t>
  </si>
  <si>
    <t xml:space="preserve">Sensibilites</t>
  </si>
  <si>
    <t xml:space="preserve">EBITDA stabilise selon prix de vente et taux de remplissage.</t>
  </si>
  <si>
    <t xml:space="preserve">Scenario developpeur</t>
  </si>
  <si>
    <t xml:space="preserve">Alternative : securiser foncier + puissance + permis, puis ceder ou co-developper.</t>
  </si>
  <si>
    <t xml:space="preserve">AVERTISSEMENTS</t>
  </si>
  <si>
    <t xml:space="preserve">1. La puissance electrique n'est pas acquise</t>
  </si>
  <si>
    <t xml:space="preserve">Le modele suppose 20 MW IT raccordes. Tant qu'une PTF RTE n'est pas signee, le business plan reste theorique. En mai 2026, 28,6 GW etaient demandes en France pour 18 GW deja reserves par RTE.</t>
  </si>
  <si>
    <t xml:space="preserve">2. Le foncier n'est pas maitrise</t>
  </si>
  <si>
    <t xml:space="preserve">Un terrain de 8 ha sans proximite d'un axe 400 kV ou d'un poste source disponible n'a pas de valeur pour ce projet. La localisation doit etre choisie a partir de la capacite reseau, pas l'inverse.</t>
  </si>
  <si>
    <t xml:space="preserve">3. Depuis juin 2026, RTE applique 'premier pret, premier servi'</t>
  </si>
  <si>
    <t xml:space="preserve">L'anteriorite de la demande ne suffit plus. Sont priorises les dossiers avec foncier securise, garanties financieres et commandes d'equipements engagees.</t>
  </si>
  <si>
    <t xml:space="preserve">4. Aucun preteur ne finance en speculatif</t>
  </si>
  <si>
    <t xml:space="preserve">La dette projet suppose des baux fermes signes. Compter 40 a 60 % de la tranche 1 pre-commercialisee avant closing.</t>
  </si>
  <si>
    <t xml:space="preserve">5. Ordres de grandeur, pas devis</t>
  </si>
  <si>
    <t xml:space="preserve">Les couts unitaires sont des references de marche 2026. Un chiffrage MOE est indispensable avant toute decision d'investissement.</t>
  </si>
  <si>
    <t xml:space="preserve">SOURCES DES REFERENCES DE MARCHE</t>
  </si>
  <si>
    <t xml:space="preserve">Puissance demandee / reservee France</t>
  </si>
  <si>
    <t xml:space="preserve">RTE, mai 2026 : 28,6 GW demandes, 18 GW reserves (contre 5 GW fin 2024).</t>
  </si>
  <si>
    <t xml:space="preserve">Prix colocation IA haute densite</t>
  </si>
  <si>
    <t xml:space="preserve">Benchmarks UK 2026 : 300 a 420 GBP/kW/mois pour les baies 50 kW+ refroidies en liquide, energie incluse. Wholesale US : 196 USD/kW/mois (CBRE H2 2025, +6,5 % sur un an).</t>
  </si>
  <si>
    <t xml:space="preserve">Cout de construction</t>
  </si>
  <si>
    <t xml:space="preserve">JLL Global Data Center Outlook 2026 : 10,7 MUSD par MW aux Etats-Unis. Retour sur investissement construire vs louer : 7 a 9 ans.</t>
  </si>
  <si>
    <t xml:space="preserve">Prix electricite France</t>
  </si>
  <si>
    <t xml:space="preserve">Fin de l'ARENH au 31/12/2025, remplace par le VNU vise autour de 70 EUR/MWh sur 15 ans. Marche de gros CAL27 autour de 55 a 60 EUR/MWh au T1 2026.</t>
  </si>
  <si>
    <t xml:space="preserve">Refaction raccordement</t>
  </si>
  <si>
    <t xml:space="preserve">Arrete du 30/11/2017 : 30 % de prise en charge pour un raccordement consommateur en haute tension. Couts de renforcement couverts par le TURPE.</t>
  </si>
  <si>
    <t xml:space="preserve">Densite et refroidissement</t>
  </si>
  <si>
    <t xml:space="preserve">Systemes GPU Blackwell : 120 a 150 kW par baie. Refroidissement liquide direct requis au-dela de 40 kW/baie.</t>
  </si>
  <si>
    <t xml:space="preserve">HYPOTHESES DU MODELE</t>
  </si>
  <si>
    <t xml:space="preserve">Modifier uniquement les cellules bleues. Les cellules jaunes pilotent la rentabilite.</t>
  </si>
  <si>
    <t xml:space="preserve">A. DIMENSIONNEMENT</t>
  </si>
  <si>
    <t xml:space="preserve">Puissance IT cible totale</t>
  </si>
  <si>
    <t xml:space="preserve">MW IT</t>
  </si>
  <si>
    <t xml:space="preserve">Puissance utile serveurs, hors refroidissement</t>
  </si>
  <si>
    <t xml:space="preserve">Nombre de tranches</t>
  </si>
  <si>
    <t xml:space="preserve">tranches</t>
  </si>
  <si>
    <t xml:space="preserve">Phasage pour limiter le capex speculatif</t>
  </si>
  <si>
    <t xml:space="preserve">Puissance par tranche</t>
  </si>
  <si>
    <t xml:space="preserve">Densite moyenne par baie</t>
  </si>
  <si>
    <t xml:space="preserve">kW/baie</t>
  </si>
  <si>
    <t xml:space="preserve">Cible IA : 40 a 130 kW. Refroidissement liquide direct obligatoire.</t>
  </si>
  <si>
    <t xml:space="preserve">Nombre de baies</t>
  </si>
  <si>
    <t xml:space="preserve">baies</t>
  </si>
  <si>
    <t xml:space="preserve">Surface du terrain</t>
  </si>
  <si>
    <t xml:space="preserve">ha</t>
  </si>
  <si>
    <t xml:space="preserve">Donnee de depart</t>
  </si>
  <si>
    <t xml:space="preserve">Surface batie par MW IT</t>
  </si>
  <si>
    <t xml:space="preserve">m2/MW</t>
  </si>
  <si>
    <t xml:space="preserve">Salle blanche + locaux techniques + TGBT + groupes</t>
  </si>
  <si>
    <t xml:space="preserve">Surface batie totale</t>
  </si>
  <si>
    <t xml:space="preserve">m2</t>
  </si>
  <si>
    <t xml:space="preserve">Emprise au sol / terrain</t>
  </si>
  <si>
    <t xml:space="preserve">Marge pour groupes electrogenes, chillers, poste, extension</t>
  </si>
  <si>
    <t xml:space="preserve">B. EXPLOITATION TECHNIQUE</t>
  </si>
  <si>
    <t xml:space="preserve">PUE de conception</t>
  </si>
  <si>
    <t xml:space="preserve">Refroidissement liquide direct + free cooling. 1,15 a 1,30 atteignable en France.</t>
  </si>
  <si>
    <t xml:space="preserve">Facteur de charge IT moyen</t>
  </si>
  <si>
    <t xml:space="preserve">Part de la puissance souscrite reellement appelee</t>
  </si>
  <si>
    <t xml:space="preserve">Taux de remplissage stabilise</t>
  </si>
  <si>
    <t xml:space="preserve">Plafond commercial retenu</t>
  </si>
  <si>
    <t xml:space="preserve">Ramp-up annee 1</t>
  </si>
  <si>
    <t xml:space="preserve">Part de la tranche commercialisee la 1ere annee</t>
  </si>
  <si>
    <t xml:space="preserve">Ramp-up annee 2</t>
  </si>
  <si>
    <t xml:space="preserve">Ramp-up annee 3</t>
  </si>
  <si>
    <t xml:space="preserve">Ramp-up annee 4 et suivantes</t>
  </si>
  <si>
    <t xml:space="preserve">C. REVENUS</t>
  </si>
  <si>
    <t xml:space="preserve">Loyer infrastructure</t>
  </si>
  <si>
    <t xml:space="preserve">EUR/kW IT/mois</t>
  </si>
  <si>
    <t xml:space="preserve">Hors energie. Calibre pour un rendement sur capex de 12 a 13 %, norme des developpeurs infra.</t>
  </si>
  <si>
    <t xml:space="preserve">Indexation annuelle du loyer</t>
  </si>
  <si>
    <t xml:space="preserve">/an</t>
  </si>
  <si>
    <t xml:space="preserve">Clause d'indexation contractuelle type ILAT</t>
  </si>
  <si>
    <t xml:space="preserve">Revenus de services</t>
  </si>
  <si>
    <t xml:space="preserve">% du loyer</t>
  </si>
  <si>
    <t xml:space="preserve">Remote hands, cross-connects, baies de brassage, frais d'installation</t>
  </si>
  <si>
    <t xml:space="preserve">Prix d'achat energie rendu site</t>
  </si>
  <si>
    <t xml:space="preserve">EUR/MWh</t>
  </si>
  <si>
    <t xml:space="preserve">Commodite + TURPE + accises. Marche gros CAL27 ~58 EUR/MWh au T1 2026.</t>
  </si>
  <si>
    <t xml:space="preserve">Indexation prix energie</t>
  </si>
  <si>
    <t xml:space="preserve">Marge sur refacturation energie</t>
  </si>
  <si>
    <t xml:space="preserve">Marge operateur sur la refacturation au client</t>
  </si>
  <si>
    <t xml:space="preserve">D. INVESTISSEMENT</t>
  </si>
  <si>
    <t xml:space="preserve">Prix du foncier</t>
  </si>
  <si>
    <t xml:space="preserve">EUR/m2</t>
  </si>
  <si>
    <t xml:space="preserve">Zone d'activites hors metropole. 25 a 120 EUR/m2 selon localisation.</t>
  </si>
  <si>
    <t xml:space="preserve">Cout d'acquisition du terrain</t>
  </si>
  <si>
    <t xml:space="preserve">MEUR</t>
  </si>
  <si>
    <t xml:space="preserve">Frais d'acquisition</t>
  </si>
  <si>
    <t xml:space="preserve">Notaire, droits d'enregistrement, geometre, depollution</t>
  </si>
  <si>
    <t xml:space="preserve">Etudes, permis, MOE, juridique</t>
  </si>
  <si>
    <t xml:space="preserve">Phase developpement : etude d'impact, ICPE, PC, AMO, conseils</t>
  </si>
  <si>
    <t xml:space="preserve">Raccordement HTB net de refaction</t>
  </si>
  <si>
    <t xml:space="preserve">Poste client 63/90 kV + liaison. Refaction 30 % appliquee.</t>
  </si>
  <si>
    <t xml:space="preserve">Capex bati + M&amp;E par MW IT</t>
  </si>
  <si>
    <t xml:space="preserve">MEUR/MW</t>
  </si>
  <si>
    <t xml:space="preserve">Coque, electricite, groupes, UPS, refroidissement liquide, securite.</t>
  </si>
  <si>
    <t xml:space="preserve">Part batiment dans le capex M&amp;E</t>
  </si>
  <si>
    <t xml:space="preserve">Pour la ventilation des durees d'amortissement</t>
  </si>
  <si>
    <t xml:space="preserve">Provision aleas</t>
  </si>
  <si>
    <t xml:space="preserve">Sur capex bati + M&amp;E</t>
  </si>
  <si>
    <t xml:space="preserve">E. CHARGES D'EXPLOITATION</t>
  </si>
  <si>
    <t xml:space="preserve">Opex fixe par MW IT installe</t>
  </si>
  <si>
    <t xml:space="preserve">EUR/MW/an</t>
  </si>
  <si>
    <t xml:space="preserve">Personnel exploitation 24/7, maintenance, assurance, surete, connectivite</t>
  </si>
  <si>
    <t xml:space="preserve">Taxes locales</t>
  </si>
  <si>
    <t xml:space="preserve">% capex bati/an</t>
  </si>
  <si>
    <t xml:space="preserve">Taxe fonciere, CFE, IFER</t>
  </si>
  <si>
    <t xml:space="preserve">Frais de structure</t>
  </si>
  <si>
    <t xml:space="preserve">MEUR/an</t>
  </si>
  <si>
    <t xml:space="preserve">Direction, commerce, administratif, siege</t>
  </si>
  <si>
    <t xml:space="preserve">Croissance des charges</t>
  </si>
  <si>
    <t xml:space="preserve">F. FINANCEMENT ET FISCALITE</t>
  </si>
  <si>
    <t xml:space="preserve">Part de dette projet</t>
  </si>
  <si>
    <t xml:space="preserve">Gearing infra standard. Suppose des baux fermes signes.</t>
  </si>
  <si>
    <t xml:space="preserve">Taux d'interet dette projet</t>
  </si>
  <si>
    <t xml:space="preserve">Marge senior sur Euribor</t>
  </si>
  <si>
    <t xml:space="preserve">Duree d'amortissement de la dette</t>
  </si>
  <si>
    <t xml:space="preserve">ans</t>
  </si>
  <si>
    <t xml:space="preserve">Taux d'impot sur les societes</t>
  </si>
  <si>
    <t xml:space="preserve">Amortissement batiment</t>
  </si>
  <si>
    <t xml:space="preserve">Amortissement M&amp;E</t>
  </si>
  <si>
    <t xml:space="preserve">Taux d'actualisation (WACC)</t>
  </si>
  <si>
    <t xml:space="preserve">Infra numerique greenfield en France</t>
  </si>
  <si>
    <t xml:space="preserve">G. VALORISATION</t>
  </si>
  <si>
    <t xml:space="preserve">Multiple EBITDA de sortie</t>
  </si>
  <si>
    <t xml:space="preserve">Taux de capitalisation de 6,7 %. Transactions infra numerique Europe : 5,5 a 7 %.</t>
  </si>
  <si>
    <t xml:space="preserve">Valeur d'un site shovel-ready</t>
  </si>
  <si>
    <t xml:space="preserve">Powered land autorise et raccordable. 0,8 a 2,5 MEUR/MW en Europe.</t>
  </si>
  <si>
    <t xml:space="preserve">H. CALENDRIER DE MISE EN SERVICE</t>
  </si>
  <si>
    <t xml:space="preserve">Tranche</t>
  </si>
  <si>
    <t xml:space="preserve">Annee MES</t>
  </si>
  <si>
    <t xml:space="preserve">Tranche 1</t>
  </si>
  <si>
    <t xml:space="preserve">Hypothese : 3 a 4 ans de developpement (foncier, raccordement, permis) puis 18 mois de construction par tranche.</t>
  </si>
  <si>
    <t xml:space="preserve">Tranche 2</t>
  </si>
  <si>
    <t xml:space="preserve">Tranche 3</t>
  </si>
  <si>
    <t xml:space="preserve">Tranche 4</t>
  </si>
  <si>
    <t xml:space="preserve">Profil de ramp-up (vecteur utilise par le compte de resultat)</t>
  </si>
  <si>
    <t xml:space="preserve">An 1</t>
  </si>
  <si>
    <t xml:space="preserve">An 2</t>
  </si>
  <si>
    <t xml:space="preserve">An 3</t>
  </si>
  <si>
    <t xml:space="preserve">An 4</t>
  </si>
  <si>
    <t xml:space="preserve">INVESTISSEMENT ET PHASAGE</t>
  </si>
  <si>
    <t xml:space="preserve">Montants en millions d'euros courants</t>
  </si>
  <si>
    <t xml:space="preserve">SYNTHESE DU BUDGET D'INVESTISSEMENT</t>
  </si>
  <si>
    <t xml:space="preserve">Poste</t>
  </si>
  <si>
    <t xml:space="preserve">Montant</t>
  </si>
  <si>
    <t xml:space="preserve">Part</t>
  </si>
  <si>
    <t xml:space="preserve">Acquisition du terrain (8 ha)</t>
  </si>
  <si>
    <t xml:space="preserve">Developpement : etudes, permis, MOE, juridique</t>
  </si>
  <si>
    <t xml:space="preserve">Raccordement electrique HTB</t>
  </si>
  <si>
    <t xml:space="preserve">Bati et equipements techniques</t>
  </si>
  <si>
    <t xml:space="preserve">CAPEX TOTAL</t>
  </si>
  <si>
    <t xml:space="preserve">Capex par MW IT</t>
  </si>
  <si>
    <t xml:space="preserve">Capex par baie</t>
  </si>
  <si>
    <t xml:space="preserve">EUR/baie</t>
  </si>
  <si>
    <t xml:space="preserve">PHASAGE ANNUEL DES DECAISSEMENTS</t>
  </si>
  <si>
    <t xml:space="preserve">Annee</t>
  </si>
  <si>
    <t xml:space="preserve">Total</t>
  </si>
  <si>
    <t xml:space="preserve">2026</t>
  </si>
  <si>
    <t xml:space="preserve">2027</t>
  </si>
  <si>
    <t xml:space="preserve">2028</t>
  </si>
  <si>
    <t xml:space="preserve">2029</t>
  </si>
  <si>
    <t xml:space="preserve">2030</t>
  </si>
  <si>
    <t xml:space="preserve">2031</t>
  </si>
  <si>
    <t xml:space="preserve">2032</t>
  </si>
  <si>
    <t xml:space="preserve">2033</t>
  </si>
  <si>
    <t xml:space="preserve">2034</t>
  </si>
  <si>
    <t xml:space="preserve">2035</t>
  </si>
  <si>
    <t xml:space="preserve">2036</t>
  </si>
  <si>
    <t xml:space="preserve">2037</t>
  </si>
  <si>
    <t xml:space="preserve">Acquisition du terrain</t>
  </si>
  <si>
    <t xml:space="preserve">Developpement, etudes, permis</t>
  </si>
  <si>
    <t xml:space="preserve">Construction bati et M&amp;E (+ aleas)</t>
  </si>
  <si>
    <t xml:space="preserve">CAPEX TOTAL DE L'ANNEE</t>
  </si>
  <si>
    <t xml:space="preserve">Capex cumule</t>
  </si>
  <si>
    <t xml:space="preserve">Note : le phasage du raccordement suit le calendrier RTE (PTF, acompte a l'acceptation, appels de fonds sur travaux).</t>
  </si>
  <si>
    <t xml:space="preserve">La construction est declenchee 18 mois avant la mise en service de chaque tranche (60 % en N-1, 40 % l'annee de MES).</t>
  </si>
  <si>
    <t xml:space="preserve">COMPTE DE RESULTAT PREVISIONNEL</t>
  </si>
  <si>
    <t xml:space="preserve">Millions d'euros courants</t>
  </si>
  <si>
    <t xml:space="preserve">Unite</t>
  </si>
  <si>
    <t xml:space="preserve">VOLUMES</t>
  </si>
  <si>
    <t xml:space="preserve">Puissance IT en service (cumul)</t>
  </si>
  <si>
    <t xml:space="preserve">  dont tranche 1 commercialisee</t>
  </si>
  <si>
    <t xml:space="preserve">  dont tranche 2 commercialisee</t>
  </si>
  <si>
    <t xml:space="preserve">  dont tranche 3 commercialisee</t>
  </si>
  <si>
    <t xml:space="preserve">  dont tranche 4 commercialisee</t>
  </si>
  <si>
    <t xml:space="preserve">Puissance IT commercialisee</t>
  </si>
  <si>
    <t xml:space="preserve">Taux de remplissage</t>
  </si>
  <si>
    <t xml:space="preserve">Consommation electrique totale</t>
  </si>
  <si>
    <t xml:space="preserve">GWh</t>
  </si>
  <si>
    <t xml:space="preserve">CHIFFRE D'AFFAIRES</t>
  </si>
  <si>
    <t xml:space="preserve">Services (remote hands, cross-connect)</t>
  </si>
  <si>
    <t xml:space="preserve">Refacturation energie</t>
  </si>
  <si>
    <t xml:space="preserve">CHIFFRE D'AFFAIRES TOTAL</t>
  </si>
  <si>
    <t xml:space="preserve">CHARGES D'EXPLOITATION</t>
  </si>
  <si>
    <t xml:space="preserve">Achat d'energie</t>
  </si>
  <si>
    <t xml:space="preserve">Opex fixe (exploitation, maintenance, surete)</t>
  </si>
  <si>
    <t xml:space="preserve">TOTAL CHARGES</t>
  </si>
  <si>
    <t xml:space="preserve">SOLDES INTERMEDIAIRES</t>
  </si>
  <si>
    <t xml:space="preserve">EBITDA</t>
  </si>
  <si>
    <t xml:space="preserve">Marge d'EBITDA</t>
  </si>
  <si>
    <t xml:space="preserve">EBITDA par MW IT commercialise</t>
  </si>
  <si>
    <t xml:space="preserve">Dotations aux amortissements</t>
  </si>
  <si>
    <t xml:space="preserve">RESULTAT D'EXPLOITATION (EBIT)</t>
  </si>
  <si>
    <t xml:space="preserve">Charges financieres</t>
  </si>
  <si>
    <t xml:space="preserve">RESULTAT AVANT IMPOT</t>
  </si>
  <si>
    <t xml:space="preserve">Impot sur les societes</t>
  </si>
  <si>
    <t xml:space="preserve">RESULTAT NET</t>
  </si>
  <si>
    <t xml:space="preserve">Note : l'impot ne tient pas compte des reports deficitaires, ce qui penalise legerement le modele sur les premieres annees beneficiaires.</t>
  </si>
  <si>
    <t xml:space="preserve">Le prix de vente et le prix d'achat de l'energie sont indexes separement. La marge de refacturation est fixee dans les hypotheses.</t>
  </si>
  <si>
    <t xml:space="preserve">FLUX DE TRESORERIE ET FINANCEMENT</t>
  </si>
  <si>
    <t xml:space="preserve">FINANCEMENT</t>
  </si>
  <si>
    <t xml:space="preserve">Capex de l'annee</t>
  </si>
  <si>
    <t xml:space="preserve">Apport en fonds propres</t>
  </si>
  <si>
    <t xml:space="preserve">Tirage de dette projet</t>
  </si>
  <si>
    <t xml:space="preserve">Remboursement de principal</t>
  </si>
  <si>
    <t xml:space="preserve">Dette : solde d'ouverture</t>
  </si>
  <si>
    <t xml:space="preserve">Variation</t>
  </si>
  <si>
    <t xml:space="preserve">Dette : solde de cloture</t>
  </si>
  <si>
    <t xml:space="preserve">Fonds propres cumules injectes</t>
  </si>
  <si>
    <t xml:space="preserve">FLUX DE TRESORERIE</t>
  </si>
  <si>
    <t xml:space="preserve">Variation du BFR</t>
  </si>
  <si>
    <t xml:space="preserve">Investissements</t>
  </si>
  <si>
    <t xml:space="preserve">FLUX DE TRESORERIE DISPONIBLE (projet)</t>
  </si>
  <si>
    <t xml:space="preserve">Service de la dette (interets + principal)</t>
  </si>
  <si>
    <t xml:space="preserve">Tirage de dette</t>
  </si>
  <si>
    <t xml:space="preserve">FLUX ACTIONNAIRE</t>
  </si>
  <si>
    <t xml:space="preserve">Flux actionnaire cumule</t>
  </si>
  <si>
    <t xml:space="preserve">COUVERTURE DE LA DETTE</t>
  </si>
  <si>
    <t xml:space="preserve">DSCR (EBITDA / service de la dette)</t>
  </si>
  <si>
    <t xml:space="preserve">Un preteur infra exige un DSCR minimum de 1,30x a 1,45x sur la duree du pret.</t>
  </si>
  <si>
    <t xml:space="preserve">RENDEMENT DU PROJET</t>
  </si>
  <si>
    <t xml:space="preserve">Valeur terminale (EBITDA 2037 x multiple)</t>
  </si>
  <si>
    <t xml:space="preserve">Dette residuelle 2037</t>
  </si>
  <si>
    <t xml:space="preserve">Valeur des fonds propres en 2037</t>
  </si>
  <si>
    <t xml:space="preserve">Flux actionnaire y compris valeur terminale</t>
  </si>
  <si>
    <t xml:space="preserve">TRI actionnaire (avec sortie 2037)</t>
  </si>
  <si>
    <t xml:space="preserve">VAN au WACC</t>
  </si>
  <si>
    <t xml:space="preserve">Multiple sur fonds propres investis</t>
  </si>
  <si>
    <t xml:space="preserve">Fonds propres totaux a mobiliser</t>
  </si>
  <si>
    <t xml:space="preserve">Ce niveau de fonds propres depasse tres largement une levee d'amorcage. Voir l'onglet 'Scenario developpeur' pour la trajectoire realiste d'entree.</t>
  </si>
  <si>
    <t xml:space="preserve">SENSIBILITES - EBITDA A PLEINE CAPACITE</t>
  </si>
  <si>
    <t xml:space="preserve">Millions d'euros constants, 20 MW IT installes, hors indexation</t>
  </si>
  <si>
    <t xml:space="preserve">Rappel des variables fixes</t>
  </si>
  <si>
    <t xml:space="preserve">Puissance IT installee (MW)</t>
  </si>
  <si>
    <t xml:space="preserve">PUE</t>
  </si>
  <si>
    <t xml:space="preserve">Facteur de charge IT</t>
  </si>
  <si>
    <t xml:space="preserve">Prix achat energie (EUR/MWh)</t>
  </si>
  <si>
    <t xml:space="preserve">Marge refacturation energie</t>
  </si>
  <si>
    <t xml:space="preserve">Opex fixe (EUR/MW/an)</t>
  </si>
  <si>
    <t xml:space="preserve">Frais de structure (MEUR)</t>
  </si>
  <si>
    <t xml:space="preserve">Capex total (MEUR)</t>
  </si>
  <si>
    <t xml:space="preserve">EBITDA (MEUR) : prix de location en lignes, taux de remplissage en colonnes</t>
  </si>
  <si>
    <t xml:space="preserve">Rendement sur capex (EBITDA / capex total)</t>
  </si>
  <si>
    <t xml:space="preserve">Seuil de reference : un actif infra finance a 65 % de dette a 5,5 % exige un rendement sur capex superieur a 9 % pour degager un TRI actionnaire a deux chiffres.</t>
  </si>
  <si>
    <t xml:space="preserve">Point mort : taux de remplissage minimum au prix de base</t>
  </si>
  <si>
    <t xml:space="preserve">Charges fixes annuelles (opex + taxes + structure)</t>
  </si>
  <si>
    <t xml:space="preserve">Service de la dette a pleine capacite (annuite)</t>
  </si>
  <si>
    <t xml:space="preserve">Marge unitaire par MW commercialise</t>
  </si>
  <si>
    <t xml:space="preserve">MW a commercialiser pour couvrir charges + dette</t>
  </si>
  <si>
    <t xml:space="preserve">soit un taux de remplissage de</t>
  </si>
  <si>
    <t xml:space="preserve">SCENARIO ALTERNATIF : DEVELOPPEUR DE SITE</t>
  </si>
  <si>
    <t xml:space="preserve">Securiser foncier, capacite electrique et autorisations, puis ceder ou co-developper. Millions d'euros.</t>
  </si>
  <si>
    <t xml:space="preserve">Logique</t>
  </si>
  <si>
    <t xml:space="preserve">La construction d'un datacenter de 20 MW exige des fonds propres hors de portee d'une structure en creation.</t>
  </si>
  <si>
    <t xml:space="preserve">La valeur se cree en amont : un site autorise avec capacite reseau reservee (powered land) se negocie 0,8 a 2,5 MEUR par MW en Europe.</t>
  </si>
  <si>
    <t xml:space="preserve">Ce scenario chiffre la phase de developpement seule, sur 36 a 42 mois.</t>
  </si>
  <si>
    <t xml:space="preserve">COUTS DE LA PHASE DE DEVELOPPEMENT</t>
  </si>
  <si>
    <t xml:space="preserve">Echeance</t>
  </si>
  <si>
    <t xml:space="preserve">Option / promesse de vente sur le foncier</t>
  </si>
  <si>
    <t xml:space="preserve">M0-M6</t>
  </si>
  <si>
    <t xml:space="preserve">Indemnite d'immobilisation, evite d'acheter avant securisation de la puissance</t>
  </si>
  <si>
    <t xml:space="preserve">Etudes de faisabilite technique et reseau</t>
  </si>
  <si>
    <t xml:space="preserve">M0-M9</t>
  </si>
  <si>
    <t xml:space="preserve">Etude exploratoire RTE/Enedis, geotechnique, hydraulique, raccordement fibre</t>
  </si>
  <si>
    <t xml:space="preserve">Dossier de raccordement et acompte PTF</t>
  </si>
  <si>
    <t xml:space="preserve">M9-M24</t>
  </si>
  <si>
    <t xml:space="preserve">Depot, etude detaillee, acompte a l'acceptation de la PTF</t>
  </si>
  <si>
    <t xml:space="preserve">Etude d'impact et dossier ICPE</t>
  </si>
  <si>
    <t xml:space="preserve">M6-M24</t>
  </si>
  <si>
    <t xml:space="preserve">Rubriques 2910 combustion, 4734 stockage fioul, 2925 batteries</t>
  </si>
  <si>
    <t xml:space="preserve">Permis de construire et maitrise d'oeuvre amont</t>
  </si>
  <si>
    <t xml:space="preserve">M12-M30</t>
  </si>
  <si>
    <t xml:space="preserve">Architecte, BET fluides, BET electricite, avant-projet detaille</t>
  </si>
  <si>
    <t xml:space="preserve">Acquisition du foncier (levee d'option)</t>
  </si>
  <si>
    <t xml:space="preserve">M24-M30</t>
  </si>
  <si>
    <t xml:space="preserve">Levee apres obtention de la PTF et du permis</t>
  </si>
  <si>
    <t xml:space="preserve">Juridique, financier, conseil M&amp;A</t>
  </si>
  <si>
    <t xml:space="preserve">M0-M42</t>
  </si>
  <si>
    <t xml:space="preserve">Structuration, negociation des baux, data room</t>
  </si>
  <si>
    <t xml:space="preserve">Structure et masse salariale (3 a 5 personnes)</t>
  </si>
  <si>
    <t xml:space="preserve">Direction, developpement, energie, commerce</t>
  </si>
  <si>
    <t xml:space="preserve">TOTAL PHASE DEVELOPPEMENT</t>
  </si>
  <si>
    <t xml:space="preserve">VALEUR CREEE</t>
  </si>
  <si>
    <t xml:space="preserve">Puissance securisee</t>
  </si>
  <si>
    <t xml:space="preserve">Valeur unitaire d'un site shovel-ready</t>
  </si>
  <si>
    <t xml:space="preserve">VALEUR DU SITE A LA CESSION</t>
  </si>
  <si>
    <t xml:space="preserve">Plus-value brute</t>
  </si>
  <si>
    <t xml:space="preserve">Multiple sur capitaux engages</t>
  </si>
  <si>
    <t xml:space="preserve">TRI approche sur 3,5 ans</t>
  </si>
  <si>
    <t xml:space="preserve">SENSIBILITE DE LA VALEUR DE CESSION</t>
  </si>
  <si>
    <t xml:space="preserve">Valeur MEUR/MW</t>
  </si>
  <si>
    <t xml:space="preserve">Valeur site</t>
  </si>
  <si>
    <t xml:space="preserve">Multiple</t>
  </si>
  <si>
    <t xml:space="preserve">CONDITIONS DE REUSSITE</t>
  </si>
  <si>
    <t xml:space="preserve">1. Obtenir une PTF RTE signee. C'est le seul actif reellement rare. Sans elle, la valeur du site est celle du terrain nu.</t>
  </si>
  <si>
    <t xml:space="preserve">2. Choisir le site a partir de la carte reseau, pas de la disponibilite fonciere. Moins de 15 km d'un axe 400 kV dans une zone non saturee.</t>
  </si>
  <si>
    <t xml:space="preserve">3. Constituer le dossier selon les criteres 'premier pret, premier servi' de RTE : foncier securise, garanties financieres, commandes engagees.</t>
  </si>
  <si>
    <t xml:space="preserve">4. Signer une lettre d'intention avec un operateur IA ou un hyperscaler. Elle transforme le dossier aux yeux de RTE comme des investisseurs.</t>
  </si>
  <si>
    <t xml:space="preserve">5. Ne pas acheter le foncier avant d'avoir la visibilite sur la puissance. Passer par une promesse sous condition suspensive.</t>
  </si>
</sst>
</file>

<file path=xl/styles.xml><?xml version="1.0" encoding="utf-8"?>
<styleSheet xmlns="http://schemas.openxmlformats.org/spreadsheetml/2006/main">
  <numFmts count="9">
    <numFmt numFmtId="164" formatCode="General"/>
    <numFmt numFmtId="165" formatCode="#,##0;\(#,##0\);\-"/>
    <numFmt numFmtId="166" formatCode="#,##0.0;\(#,##0.0\);\-"/>
    <numFmt numFmtId="167" formatCode="0.0%"/>
    <numFmt numFmtId="168" formatCode="0.00"/>
    <numFmt numFmtId="169" formatCode="0.0\x"/>
    <numFmt numFmtId="170" formatCode="0"/>
    <numFmt numFmtId="171" formatCode="0.00\x"/>
    <numFmt numFmtId="172" formatCode="0%"/>
  </numFmts>
  <fonts count="15">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b val="true"/>
      <sz val="11"/>
      <color rgb="FF1F3864"/>
      <name val="Arial"/>
      <family val="0"/>
      <charset val="1"/>
    </font>
    <font>
      <i val="true"/>
      <sz val="9"/>
      <color rgb="FF595959"/>
      <name val="Arial"/>
      <family val="0"/>
      <charset val="1"/>
    </font>
    <font>
      <sz val="10"/>
      <color rgb="FF0000FF"/>
      <name val="Arial"/>
      <family val="0"/>
      <charset val="1"/>
    </font>
    <font>
      <b val="true"/>
      <sz val="10"/>
      <color rgb="FFFFFFFF"/>
      <name val="Arial"/>
      <family val="0"/>
      <charset val="1"/>
    </font>
    <font>
      <b val="true"/>
      <sz val="9"/>
      <name val="Arial"/>
      <family val="0"/>
      <charset val="1"/>
    </font>
    <font>
      <sz val="10"/>
      <color rgb="FF008000"/>
      <name val="Arial"/>
      <family val="0"/>
      <charset val="1"/>
    </font>
    <font>
      <i val="true"/>
      <sz val="9"/>
      <color rgb="FFC00000"/>
      <name val="Arial"/>
      <family val="0"/>
      <charset val="1"/>
    </font>
  </fonts>
  <fills count="6">
    <fill>
      <patternFill patternType="none"/>
    </fill>
    <fill>
      <patternFill patternType="gray125"/>
    </fill>
    <fill>
      <patternFill patternType="solid">
        <fgColor rgb="FFEDEDED"/>
        <bgColor rgb="FFFFFFFF"/>
      </patternFill>
    </fill>
    <fill>
      <patternFill patternType="solid">
        <fgColor rgb="FFFFFF00"/>
        <bgColor rgb="FFFFFF00"/>
      </patternFill>
    </fill>
    <fill>
      <patternFill patternType="solid">
        <fgColor rgb="FF1F3864"/>
        <bgColor rgb="FF333333"/>
      </patternFill>
    </fill>
    <fill>
      <patternFill patternType="solid">
        <fgColor rgb="FFD9D9D9"/>
        <bgColor rgb="FFEDEDED"/>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10" fillId="3"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68" fontId="10" fillId="3"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7" fontId="10" fillId="3" borderId="0" xfId="0" applyFont="true" applyBorder="false" applyAlignment="false" applyProtection="false">
      <alignment horizontal="general" vertical="bottom" textRotation="0" wrapText="false" indent="0" shrinkToFit="false"/>
      <protection locked="true" hidden="false"/>
    </xf>
    <xf numFmtId="166" fontId="10" fillId="3"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64" fontId="11" fillId="4"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6" fontId="13" fillId="0" borderId="0" xfId="0" applyFont="tru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6" fontId="6" fillId="5" borderId="0" xfId="0" applyFont="true" applyBorder="false" applyAlignment="false" applyProtection="false">
      <alignment horizontal="general" vertical="bottom" textRotation="0" wrapText="false" indent="0" shrinkToFit="false"/>
      <protection locked="true" hidden="false"/>
    </xf>
    <xf numFmtId="167" fontId="6" fillId="5" borderId="0" xfId="0" applyFont="true" applyBorder="false" applyAlignment="false" applyProtection="false">
      <alignment horizontal="general" vertical="bottom" textRotation="0" wrapText="false" indent="0" shrinkToFit="false"/>
      <protection locked="true" hidden="false"/>
    </xf>
    <xf numFmtId="164" fontId="11" fillId="4" borderId="0" xfId="0" applyFont="true" applyBorder="false" applyAlignment="true" applyProtection="false">
      <alignment horizontal="center"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9" fillId="5"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66" fontId="6" fillId="3"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13" fillId="0" borderId="0" xfId="0" applyFont="true" applyBorder="false" applyAlignment="false" applyProtection="false">
      <alignment horizontal="general" vertical="bottom" textRotation="0" wrapText="false" indent="0" shrinkToFit="false"/>
      <protection locked="true" hidden="false"/>
    </xf>
    <xf numFmtId="168" fontId="13" fillId="0" borderId="0" xfId="0" applyFont="true" applyBorder="false" applyAlignment="false" applyProtection="false">
      <alignment horizontal="general" vertical="bottom" textRotation="0" wrapText="false" indent="0" shrinkToFit="false"/>
      <protection locked="true" hidden="false"/>
    </xf>
    <xf numFmtId="167" fontId="13" fillId="0" borderId="0" xfId="0" applyFont="true" applyBorder="false" applyAlignment="false" applyProtection="false">
      <alignment horizontal="general" vertical="bottom" textRotation="0" wrapText="false" indent="0" shrinkToFit="false"/>
      <protection locked="true" hidden="false"/>
    </xf>
    <xf numFmtId="172" fontId="11" fillId="4" borderId="0" xfId="0" applyFont="true" applyBorder="false" applyAlignment="true" applyProtection="false">
      <alignment horizontal="center" vertical="bottom" textRotation="0" wrapText="false" indent="0" shrinkToFit="false"/>
      <protection locked="true" hidden="false"/>
    </xf>
    <xf numFmtId="165" fontId="10" fillId="2" borderId="0" xfId="0" applyFont="true" applyBorder="false" applyAlignment="false" applyProtection="false">
      <alignment horizontal="general" vertical="bottom" textRotation="0" wrapText="false" indent="0" shrinkToFit="false"/>
      <protection locked="true" hidden="false"/>
    </xf>
    <xf numFmtId="165" fontId="7" fillId="2"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9" fontId="6" fillId="3"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DEDED"/>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58"/>
    <col collapsed="false" customWidth="true" hidden="false" outlineLevel="0" max="3" min="3" style="0" width="78"/>
  </cols>
  <sheetData>
    <row r="2" customFormat="false" ht="17.35" hidden="false" customHeight="false" outlineLevel="0" collapsed="false">
      <c r="B2" s="1" t="s">
        <v>0</v>
      </c>
    </row>
    <row r="3" customFormat="false" ht="15" hidden="false" customHeight="false" outlineLevel="0" collapsed="false">
      <c r="B3" s="2" t="s">
        <v>1</v>
      </c>
    </row>
    <row r="5" customFormat="false" ht="30" hidden="false" customHeight="true" outlineLevel="0" collapsed="false">
      <c r="B5" s="3"/>
      <c r="C5" s="4"/>
    </row>
    <row r="6" customFormat="false" ht="15" hidden="false" customHeight="false" outlineLevel="0" collapsed="false">
      <c r="B6" s="5" t="s">
        <v>2</v>
      </c>
      <c r="C6" s="6"/>
    </row>
    <row r="7" customFormat="false" ht="30" hidden="false" customHeight="true" outlineLevel="0" collapsed="false">
      <c r="B7" s="7" t="s">
        <v>3</v>
      </c>
      <c r="C7" s="4" t="s">
        <v>4</v>
      </c>
    </row>
    <row r="8" customFormat="false" ht="30" hidden="false" customHeight="true" outlineLevel="0" collapsed="false">
      <c r="B8" s="3" t="s">
        <v>5</v>
      </c>
      <c r="C8" s="4" t="s">
        <v>6</v>
      </c>
    </row>
    <row r="9" customFormat="false" ht="30" hidden="false" customHeight="true" outlineLevel="0" collapsed="false">
      <c r="B9" s="3" t="s">
        <v>7</v>
      </c>
      <c r="C9" s="4" t="s">
        <v>8</v>
      </c>
    </row>
    <row r="10" customFormat="false" ht="30" hidden="false" customHeight="true" outlineLevel="0" collapsed="false">
      <c r="B10" s="3" t="s">
        <v>9</v>
      </c>
      <c r="C10" s="4" t="s">
        <v>10</v>
      </c>
    </row>
    <row r="11" customFormat="false" ht="30" hidden="false" customHeight="true" outlineLevel="0" collapsed="false">
      <c r="B11" s="3"/>
      <c r="C11" s="4"/>
    </row>
    <row r="12" customFormat="false" ht="15" hidden="false" customHeight="false" outlineLevel="0" collapsed="false">
      <c r="B12" s="5" t="s">
        <v>11</v>
      </c>
      <c r="C12" s="6"/>
    </row>
    <row r="13" customFormat="false" ht="30" hidden="false" customHeight="true" outlineLevel="0" collapsed="false">
      <c r="B13" s="3" t="s">
        <v>12</v>
      </c>
      <c r="C13" s="4" t="s">
        <v>13</v>
      </c>
    </row>
    <row r="14" customFormat="false" ht="30" hidden="false" customHeight="true" outlineLevel="0" collapsed="false">
      <c r="B14" s="3" t="s">
        <v>14</v>
      </c>
      <c r="C14" s="4" t="s">
        <v>15</v>
      </c>
    </row>
    <row r="15" customFormat="false" ht="30" hidden="false" customHeight="true" outlineLevel="0" collapsed="false">
      <c r="B15" s="3" t="s">
        <v>16</v>
      </c>
      <c r="C15" s="4" t="s">
        <v>17</v>
      </c>
    </row>
    <row r="16" customFormat="false" ht="30" hidden="false" customHeight="true" outlineLevel="0" collapsed="false">
      <c r="B16" s="3" t="s">
        <v>18</v>
      </c>
      <c r="C16" s="4" t="s">
        <v>19</v>
      </c>
    </row>
    <row r="17" customFormat="false" ht="30" hidden="false" customHeight="true" outlineLevel="0" collapsed="false">
      <c r="B17" s="3" t="s">
        <v>20</v>
      </c>
      <c r="C17" s="4" t="s">
        <v>21</v>
      </c>
    </row>
    <row r="18" customFormat="false" ht="30" hidden="false" customHeight="true" outlineLevel="0" collapsed="false">
      <c r="B18" s="3" t="s">
        <v>22</v>
      </c>
      <c r="C18" s="4" t="s">
        <v>23</v>
      </c>
    </row>
    <row r="19" customFormat="false" ht="30" hidden="false" customHeight="true" outlineLevel="0" collapsed="false">
      <c r="B19" s="3"/>
      <c r="C19" s="4"/>
    </row>
    <row r="20" customFormat="false" ht="15" hidden="false" customHeight="false" outlineLevel="0" collapsed="false">
      <c r="B20" s="5" t="s">
        <v>24</v>
      </c>
      <c r="C20" s="6"/>
    </row>
    <row r="21" customFormat="false" ht="30" hidden="false" customHeight="true" outlineLevel="0" collapsed="false">
      <c r="B21" s="3" t="s">
        <v>25</v>
      </c>
      <c r="C21" s="4" t="s">
        <v>26</v>
      </c>
    </row>
    <row r="22" customFormat="false" ht="30" hidden="false" customHeight="true" outlineLevel="0" collapsed="false">
      <c r="B22" s="3" t="s">
        <v>27</v>
      </c>
      <c r="C22" s="4" t="s">
        <v>28</v>
      </c>
    </row>
    <row r="23" customFormat="false" ht="30" hidden="false" customHeight="true" outlineLevel="0" collapsed="false">
      <c r="B23" s="3" t="s">
        <v>29</v>
      </c>
      <c r="C23" s="4" t="s">
        <v>30</v>
      </c>
    </row>
    <row r="24" customFormat="false" ht="30" hidden="false" customHeight="true" outlineLevel="0" collapsed="false">
      <c r="B24" s="3" t="s">
        <v>31</v>
      </c>
      <c r="C24" s="4" t="s">
        <v>32</v>
      </c>
    </row>
    <row r="25" customFormat="false" ht="30" hidden="false" customHeight="true" outlineLevel="0" collapsed="false">
      <c r="B25" s="3" t="s">
        <v>33</v>
      </c>
      <c r="C25" s="4" t="s">
        <v>34</v>
      </c>
    </row>
    <row r="26" customFormat="false" ht="30" hidden="false" customHeight="true" outlineLevel="0" collapsed="false">
      <c r="B26" s="3"/>
      <c r="C26" s="4"/>
    </row>
    <row r="27" customFormat="false" ht="15" hidden="false" customHeight="false" outlineLevel="0" collapsed="false">
      <c r="B27" s="5" t="s">
        <v>35</v>
      </c>
      <c r="C27" s="6"/>
    </row>
    <row r="28" customFormat="false" ht="30" hidden="false" customHeight="true" outlineLevel="0" collapsed="false">
      <c r="B28" s="3" t="s">
        <v>36</v>
      </c>
      <c r="C28" s="4" t="s">
        <v>37</v>
      </c>
    </row>
    <row r="29" customFormat="false" ht="30" hidden="false" customHeight="true" outlineLevel="0" collapsed="false">
      <c r="B29" s="3" t="s">
        <v>38</v>
      </c>
      <c r="C29" s="4" t="s">
        <v>39</v>
      </c>
    </row>
    <row r="30" customFormat="false" ht="30" hidden="false" customHeight="true" outlineLevel="0" collapsed="false">
      <c r="B30" s="3" t="s">
        <v>40</v>
      </c>
      <c r="C30" s="4" t="s">
        <v>41</v>
      </c>
    </row>
    <row r="31" customFormat="false" ht="30" hidden="false" customHeight="true" outlineLevel="0" collapsed="false">
      <c r="B31" s="3" t="s">
        <v>42</v>
      </c>
      <c r="C31" s="4" t="s">
        <v>43</v>
      </c>
    </row>
    <row r="32" customFormat="false" ht="30" hidden="false" customHeight="true" outlineLevel="0" collapsed="false">
      <c r="B32" s="3" t="s">
        <v>44</v>
      </c>
      <c r="C32" s="4" t="s">
        <v>45</v>
      </c>
    </row>
    <row r="33" customFormat="false" ht="30" hidden="false" customHeight="true" outlineLevel="0" collapsed="false">
      <c r="B33" s="3" t="s">
        <v>46</v>
      </c>
      <c r="C33" s="4" t="s">
        <v>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2" min="2" style="0" width="14"/>
    <col collapsed="false" customWidth="true" hidden="false" outlineLevel="0" max="3" min="3" style="0" width="16"/>
    <col collapsed="false" customWidth="true" hidden="false" outlineLevel="0" max="4" min="4" style="0" width="62"/>
  </cols>
  <sheetData>
    <row r="1" customFormat="false" ht="17.35" hidden="false" customHeight="false" outlineLevel="0" collapsed="false">
      <c r="A1" s="1" t="s">
        <v>48</v>
      </c>
    </row>
    <row r="2" customFormat="false" ht="15" hidden="false" customHeight="false" outlineLevel="0" collapsed="false">
      <c r="A2" s="8" t="s">
        <v>49</v>
      </c>
    </row>
    <row r="4" customFormat="false" ht="15" hidden="false" customHeight="false" outlineLevel="0" collapsed="false">
      <c r="A4" s="5" t="s">
        <v>50</v>
      </c>
      <c r="B4" s="6"/>
      <c r="C4" s="6"/>
      <c r="D4" s="6"/>
      <c r="E4" s="6"/>
      <c r="F4" s="6"/>
      <c r="G4" s="6"/>
      <c r="H4" s="6"/>
    </row>
    <row r="5" customFormat="false" ht="15" hidden="false" customHeight="false" outlineLevel="0" collapsed="false">
      <c r="A5" s="9" t="s">
        <v>51</v>
      </c>
      <c r="B5" s="10" t="n">
        <v>20</v>
      </c>
      <c r="C5" s="8" t="s">
        <v>52</v>
      </c>
      <c r="D5" s="8" t="s">
        <v>53</v>
      </c>
    </row>
    <row r="6" customFormat="false" ht="15" hidden="false" customHeight="false" outlineLevel="0" collapsed="false">
      <c r="A6" s="9" t="s">
        <v>54</v>
      </c>
      <c r="B6" s="11" t="n">
        <v>4</v>
      </c>
      <c r="C6" s="8" t="s">
        <v>55</v>
      </c>
      <c r="D6" s="8" t="s">
        <v>56</v>
      </c>
    </row>
    <row r="7" customFormat="false" ht="15" hidden="false" customHeight="false" outlineLevel="0" collapsed="false">
      <c r="A7" s="9" t="s">
        <v>57</v>
      </c>
      <c r="B7" s="12" t="n">
        <f aca="false">B5/B6</f>
        <v>5</v>
      </c>
      <c r="C7" s="8" t="s">
        <v>52</v>
      </c>
    </row>
    <row r="8" customFormat="false" ht="15" hidden="false" customHeight="false" outlineLevel="0" collapsed="false">
      <c r="A8" s="9" t="s">
        <v>58</v>
      </c>
      <c r="B8" s="11" t="n">
        <v>80</v>
      </c>
      <c r="C8" s="8" t="s">
        <v>59</v>
      </c>
      <c r="D8" s="8" t="s">
        <v>60</v>
      </c>
    </row>
    <row r="9" customFormat="false" ht="15" hidden="false" customHeight="false" outlineLevel="0" collapsed="false">
      <c r="A9" s="9" t="s">
        <v>61</v>
      </c>
      <c r="B9" s="13" t="n">
        <f aca="false">B5*1000/B8</f>
        <v>250</v>
      </c>
      <c r="C9" s="8" t="s">
        <v>62</v>
      </c>
    </row>
    <row r="10" customFormat="false" ht="15" hidden="false" customHeight="false" outlineLevel="0" collapsed="false">
      <c r="A10" s="9" t="s">
        <v>63</v>
      </c>
      <c r="B10" s="14" t="n">
        <v>8</v>
      </c>
      <c r="C10" s="8" t="s">
        <v>64</v>
      </c>
      <c r="D10" s="8" t="s">
        <v>65</v>
      </c>
    </row>
    <row r="11" customFormat="false" ht="15" hidden="false" customHeight="false" outlineLevel="0" collapsed="false">
      <c r="A11" s="9" t="s">
        <v>66</v>
      </c>
      <c r="B11" s="11" t="n">
        <v>700</v>
      </c>
      <c r="C11" s="8" t="s">
        <v>67</v>
      </c>
      <c r="D11" s="8" t="s">
        <v>68</v>
      </c>
    </row>
    <row r="12" customFormat="false" ht="15" hidden="false" customHeight="false" outlineLevel="0" collapsed="false">
      <c r="A12" s="9" t="s">
        <v>69</v>
      </c>
      <c r="B12" s="13" t="n">
        <f aca="false">B5*B11</f>
        <v>14000</v>
      </c>
      <c r="C12" s="8" t="s">
        <v>70</v>
      </c>
    </row>
    <row r="13" customFormat="false" ht="15" hidden="false" customHeight="false" outlineLevel="0" collapsed="false">
      <c r="A13" s="9" t="s">
        <v>71</v>
      </c>
      <c r="B13" s="15" t="n">
        <f aca="false">B12/(B10*10000)</f>
        <v>0.175</v>
      </c>
      <c r="C13" s="8"/>
      <c r="D13" s="8" t="s">
        <v>72</v>
      </c>
    </row>
    <row r="15" customFormat="false" ht="15" hidden="false" customHeight="false" outlineLevel="0" collapsed="false">
      <c r="A15" s="5" t="s">
        <v>73</v>
      </c>
      <c r="B15" s="6"/>
      <c r="C15" s="6"/>
      <c r="D15" s="6"/>
      <c r="E15" s="6"/>
      <c r="F15" s="6"/>
      <c r="G15" s="6"/>
      <c r="H15" s="6"/>
    </row>
    <row r="16" customFormat="false" ht="15" hidden="false" customHeight="false" outlineLevel="0" collapsed="false">
      <c r="A16" s="9" t="s">
        <v>74</v>
      </c>
      <c r="B16" s="16" t="n">
        <v>1.2</v>
      </c>
      <c r="C16" s="8"/>
      <c r="D16" s="8" t="s">
        <v>75</v>
      </c>
    </row>
    <row r="17" customFormat="false" ht="15" hidden="false" customHeight="false" outlineLevel="0" collapsed="false">
      <c r="A17" s="9" t="s">
        <v>76</v>
      </c>
      <c r="B17" s="17" t="n">
        <v>0.8</v>
      </c>
      <c r="C17" s="8"/>
      <c r="D17" s="8" t="s">
        <v>77</v>
      </c>
    </row>
    <row r="18" customFormat="false" ht="15" hidden="false" customHeight="false" outlineLevel="0" collapsed="false">
      <c r="A18" s="9" t="s">
        <v>78</v>
      </c>
      <c r="B18" s="18" t="n">
        <v>0.95</v>
      </c>
      <c r="C18" s="8"/>
      <c r="D18" s="8" t="s">
        <v>79</v>
      </c>
    </row>
    <row r="19" customFormat="false" ht="15" hidden="false" customHeight="false" outlineLevel="0" collapsed="false">
      <c r="A19" s="9" t="s">
        <v>80</v>
      </c>
      <c r="B19" s="17" t="n">
        <v>0.4</v>
      </c>
      <c r="C19" s="8"/>
      <c r="D19" s="8" t="s">
        <v>81</v>
      </c>
    </row>
    <row r="20" customFormat="false" ht="15" hidden="false" customHeight="false" outlineLevel="0" collapsed="false">
      <c r="A20" s="9" t="s">
        <v>82</v>
      </c>
      <c r="B20" s="17" t="n">
        <v>0.75</v>
      </c>
      <c r="C20" s="8"/>
    </row>
    <row r="21" customFormat="false" ht="15" hidden="false" customHeight="false" outlineLevel="0" collapsed="false">
      <c r="A21" s="9" t="s">
        <v>83</v>
      </c>
      <c r="B21" s="17" t="n">
        <v>0.92</v>
      </c>
      <c r="C21" s="8"/>
    </row>
    <row r="22" customFormat="false" ht="15" hidden="false" customHeight="false" outlineLevel="0" collapsed="false">
      <c r="A22" s="9" t="s">
        <v>84</v>
      </c>
      <c r="B22" s="17" t="n">
        <v>0.95</v>
      </c>
      <c r="C22" s="8"/>
    </row>
    <row r="24" customFormat="false" ht="15" hidden="false" customHeight="false" outlineLevel="0" collapsed="false">
      <c r="A24" s="5" t="s">
        <v>85</v>
      </c>
      <c r="B24" s="6"/>
      <c r="C24" s="6"/>
      <c r="D24" s="6"/>
      <c r="E24" s="6"/>
      <c r="F24" s="6"/>
      <c r="G24" s="6"/>
      <c r="H24" s="6"/>
    </row>
    <row r="25" customFormat="false" ht="15" hidden="false" customHeight="false" outlineLevel="0" collapsed="false">
      <c r="A25" s="9" t="s">
        <v>86</v>
      </c>
      <c r="B25" s="10" t="n">
        <v>150</v>
      </c>
      <c r="C25" s="8" t="s">
        <v>87</v>
      </c>
      <c r="D25" s="8" t="s">
        <v>88</v>
      </c>
    </row>
    <row r="26" customFormat="false" ht="15" hidden="false" customHeight="false" outlineLevel="0" collapsed="false">
      <c r="A26" s="9" t="s">
        <v>89</v>
      </c>
      <c r="B26" s="17" t="n">
        <v>0.02</v>
      </c>
      <c r="C26" s="8" t="s">
        <v>90</v>
      </c>
      <c r="D26" s="8" t="s">
        <v>91</v>
      </c>
    </row>
    <row r="27" customFormat="false" ht="15" hidden="false" customHeight="false" outlineLevel="0" collapsed="false">
      <c r="A27" s="9" t="s">
        <v>92</v>
      </c>
      <c r="B27" s="17" t="n">
        <v>0.06</v>
      </c>
      <c r="C27" s="8" t="s">
        <v>93</v>
      </c>
      <c r="D27" s="8" t="s">
        <v>94</v>
      </c>
    </row>
    <row r="28" customFormat="false" ht="15" hidden="false" customHeight="false" outlineLevel="0" collapsed="false">
      <c r="A28" s="9" t="s">
        <v>95</v>
      </c>
      <c r="B28" s="10" t="n">
        <v>95</v>
      </c>
      <c r="C28" s="8" t="s">
        <v>96</v>
      </c>
      <c r="D28" s="8" t="s">
        <v>97</v>
      </c>
    </row>
    <row r="29" customFormat="false" ht="15" hidden="false" customHeight="false" outlineLevel="0" collapsed="false">
      <c r="A29" s="9" t="s">
        <v>98</v>
      </c>
      <c r="B29" s="17" t="n">
        <v>0.025</v>
      </c>
      <c r="C29" s="8" t="s">
        <v>90</v>
      </c>
    </row>
    <row r="30" customFormat="false" ht="15" hidden="false" customHeight="false" outlineLevel="0" collapsed="false">
      <c r="A30" s="9" t="s">
        <v>99</v>
      </c>
      <c r="B30" s="17" t="n">
        <v>0.08</v>
      </c>
      <c r="C30" s="8"/>
      <c r="D30" s="8" t="s">
        <v>100</v>
      </c>
    </row>
    <row r="32" customFormat="false" ht="15" hidden="false" customHeight="false" outlineLevel="0" collapsed="false">
      <c r="A32" s="5" t="s">
        <v>101</v>
      </c>
      <c r="B32" s="6"/>
      <c r="C32" s="6"/>
      <c r="D32" s="6"/>
      <c r="E32" s="6"/>
      <c r="F32" s="6"/>
      <c r="G32" s="6"/>
      <c r="H32" s="6"/>
    </row>
    <row r="33" customFormat="false" ht="15" hidden="false" customHeight="false" outlineLevel="0" collapsed="false">
      <c r="A33" s="9" t="s">
        <v>102</v>
      </c>
      <c r="B33" s="11" t="n">
        <v>50</v>
      </c>
      <c r="C33" s="8" t="s">
        <v>103</v>
      </c>
      <c r="D33" s="8" t="s">
        <v>104</v>
      </c>
    </row>
    <row r="34" customFormat="false" ht="15" hidden="false" customHeight="false" outlineLevel="0" collapsed="false">
      <c r="A34" s="9" t="s">
        <v>105</v>
      </c>
      <c r="B34" s="12" t="n">
        <f aca="false">B10*10000*B33/1000000</f>
        <v>4</v>
      </c>
      <c r="C34" s="8" t="s">
        <v>106</v>
      </c>
    </row>
    <row r="35" customFormat="false" ht="15" hidden="false" customHeight="false" outlineLevel="0" collapsed="false">
      <c r="A35" s="9" t="s">
        <v>107</v>
      </c>
      <c r="B35" s="17" t="n">
        <v>0.08</v>
      </c>
      <c r="C35" s="8"/>
      <c r="D35" s="8" t="s">
        <v>108</v>
      </c>
    </row>
    <row r="36" customFormat="false" ht="15" hidden="false" customHeight="false" outlineLevel="0" collapsed="false">
      <c r="A36" s="9" t="s">
        <v>109</v>
      </c>
      <c r="B36" s="14" t="n">
        <v>8</v>
      </c>
      <c r="C36" s="8" t="s">
        <v>106</v>
      </c>
      <c r="D36" s="8" t="s">
        <v>110</v>
      </c>
    </row>
    <row r="37" customFormat="false" ht="15" hidden="false" customHeight="false" outlineLevel="0" collapsed="false">
      <c r="A37" s="9" t="s">
        <v>111</v>
      </c>
      <c r="B37" s="19" t="n">
        <v>12</v>
      </c>
      <c r="C37" s="8" t="s">
        <v>106</v>
      </c>
      <c r="D37" s="8" t="s">
        <v>112</v>
      </c>
    </row>
    <row r="38" customFormat="false" ht="15" hidden="false" customHeight="false" outlineLevel="0" collapsed="false">
      <c r="A38" s="9" t="s">
        <v>113</v>
      </c>
      <c r="B38" s="19" t="n">
        <v>8.5</v>
      </c>
      <c r="C38" s="8" t="s">
        <v>114</v>
      </c>
      <c r="D38" s="8" t="s">
        <v>115</v>
      </c>
    </row>
    <row r="39" customFormat="false" ht="15" hidden="false" customHeight="false" outlineLevel="0" collapsed="false">
      <c r="A39" s="9" t="s">
        <v>116</v>
      </c>
      <c r="B39" s="17" t="n">
        <v>0.35</v>
      </c>
      <c r="C39" s="8"/>
      <c r="D39" s="8" t="s">
        <v>117</v>
      </c>
    </row>
    <row r="40" customFormat="false" ht="15" hidden="false" customHeight="false" outlineLevel="0" collapsed="false">
      <c r="A40" s="9" t="s">
        <v>118</v>
      </c>
      <c r="B40" s="17" t="n">
        <v>0.07</v>
      </c>
      <c r="C40" s="8"/>
      <c r="D40" s="8" t="s">
        <v>119</v>
      </c>
    </row>
    <row r="42" customFormat="false" ht="15" hidden="false" customHeight="false" outlineLevel="0" collapsed="false">
      <c r="A42" s="5" t="s">
        <v>120</v>
      </c>
      <c r="B42" s="6"/>
      <c r="C42" s="6"/>
      <c r="D42" s="6"/>
      <c r="E42" s="6"/>
      <c r="F42" s="6"/>
      <c r="G42" s="6"/>
      <c r="H42" s="6"/>
    </row>
    <row r="43" customFormat="false" ht="15" hidden="false" customHeight="false" outlineLevel="0" collapsed="false">
      <c r="A43" s="9" t="s">
        <v>121</v>
      </c>
      <c r="B43" s="11" t="n">
        <v>400000</v>
      </c>
      <c r="C43" s="8" t="s">
        <v>122</v>
      </c>
      <c r="D43" s="8" t="s">
        <v>123</v>
      </c>
    </row>
    <row r="44" customFormat="false" ht="15" hidden="false" customHeight="false" outlineLevel="0" collapsed="false">
      <c r="A44" s="9" t="s">
        <v>124</v>
      </c>
      <c r="B44" s="17" t="n">
        <v>0.008</v>
      </c>
      <c r="C44" s="8" t="s">
        <v>125</v>
      </c>
      <c r="D44" s="8" t="s">
        <v>126</v>
      </c>
    </row>
    <row r="45" customFormat="false" ht="15" hidden="false" customHeight="false" outlineLevel="0" collapsed="false">
      <c r="A45" s="9" t="s">
        <v>127</v>
      </c>
      <c r="B45" s="14" t="n">
        <v>1.4</v>
      </c>
      <c r="C45" s="8" t="s">
        <v>128</v>
      </c>
      <c r="D45" s="8" t="s">
        <v>129</v>
      </c>
    </row>
    <row r="46" customFormat="false" ht="15" hidden="false" customHeight="false" outlineLevel="0" collapsed="false">
      <c r="A46" s="9" t="s">
        <v>130</v>
      </c>
      <c r="B46" s="17" t="n">
        <v>0.02</v>
      </c>
      <c r="C46" s="8" t="s">
        <v>90</v>
      </c>
    </row>
    <row r="48" customFormat="false" ht="15" hidden="false" customHeight="false" outlineLevel="0" collapsed="false">
      <c r="A48" s="5" t="s">
        <v>131</v>
      </c>
      <c r="B48" s="6"/>
      <c r="C48" s="6"/>
      <c r="D48" s="6"/>
      <c r="E48" s="6"/>
      <c r="F48" s="6"/>
      <c r="G48" s="6"/>
      <c r="H48" s="6"/>
    </row>
    <row r="49" customFormat="false" ht="15" hidden="false" customHeight="false" outlineLevel="0" collapsed="false">
      <c r="A49" s="9" t="s">
        <v>132</v>
      </c>
      <c r="B49" s="18" t="n">
        <v>0.65</v>
      </c>
      <c r="C49" s="8"/>
      <c r="D49" s="8" t="s">
        <v>133</v>
      </c>
    </row>
    <row r="50" customFormat="false" ht="15" hidden="false" customHeight="false" outlineLevel="0" collapsed="false">
      <c r="A50" s="9" t="s">
        <v>134</v>
      </c>
      <c r="B50" s="17" t="n">
        <v>0.055</v>
      </c>
      <c r="C50" s="8" t="s">
        <v>90</v>
      </c>
      <c r="D50" s="8" t="s">
        <v>135</v>
      </c>
    </row>
    <row r="51" customFormat="false" ht="15" hidden="false" customHeight="false" outlineLevel="0" collapsed="false">
      <c r="A51" s="9" t="s">
        <v>136</v>
      </c>
      <c r="B51" s="11" t="n">
        <v>15</v>
      </c>
      <c r="C51" s="8" t="s">
        <v>137</v>
      </c>
    </row>
    <row r="52" customFormat="false" ht="15" hidden="false" customHeight="false" outlineLevel="0" collapsed="false">
      <c r="A52" s="9" t="s">
        <v>138</v>
      </c>
      <c r="B52" s="17" t="n">
        <v>0.25</v>
      </c>
      <c r="C52" s="8"/>
    </row>
    <row r="53" customFormat="false" ht="15" hidden="false" customHeight="false" outlineLevel="0" collapsed="false">
      <c r="A53" s="9" t="s">
        <v>139</v>
      </c>
      <c r="B53" s="11" t="n">
        <v>30</v>
      </c>
      <c r="C53" s="8" t="s">
        <v>137</v>
      </c>
    </row>
    <row r="54" customFormat="false" ht="15" hidden="false" customHeight="false" outlineLevel="0" collapsed="false">
      <c r="A54" s="9" t="s">
        <v>140</v>
      </c>
      <c r="B54" s="11" t="n">
        <v>15</v>
      </c>
      <c r="C54" s="8" t="s">
        <v>137</v>
      </c>
    </row>
    <row r="55" customFormat="false" ht="15" hidden="false" customHeight="false" outlineLevel="0" collapsed="false">
      <c r="A55" s="9" t="s">
        <v>141</v>
      </c>
      <c r="B55" s="17" t="n">
        <v>0.085</v>
      </c>
      <c r="C55" s="8"/>
      <c r="D55" s="8" t="s">
        <v>142</v>
      </c>
    </row>
    <row r="57" customFormat="false" ht="15" hidden="false" customHeight="false" outlineLevel="0" collapsed="false">
      <c r="A57" s="5" t="s">
        <v>143</v>
      </c>
      <c r="B57" s="6"/>
      <c r="C57" s="6"/>
      <c r="D57" s="6"/>
      <c r="E57" s="6"/>
      <c r="F57" s="6"/>
      <c r="G57" s="6"/>
      <c r="H57" s="6"/>
    </row>
    <row r="58" customFormat="false" ht="15" hidden="false" customHeight="false" outlineLevel="0" collapsed="false">
      <c r="A58" s="9" t="s">
        <v>144</v>
      </c>
      <c r="B58" s="20" t="n">
        <v>15</v>
      </c>
      <c r="C58" s="8"/>
      <c r="D58" s="8" t="s">
        <v>145</v>
      </c>
    </row>
    <row r="59" customFormat="false" ht="15" hidden="false" customHeight="false" outlineLevel="0" collapsed="false">
      <c r="A59" s="9" t="s">
        <v>146</v>
      </c>
      <c r="B59" s="19" t="n">
        <v>1.5</v>
      </c>
      <c r="C59" s="8" t="s">
        <v>114</v>
      </c>
      <c r="D59" s="8" t="s">
        <v>147</v>
      </c>
    </row>
    <row r="61" customFormat="false" ht="15" hidden="false" customHeight="false" outlineLevel="0" collapsed="false">
      <c r="A61" s="5" t="s">
        <v>148</v>
      </c>
      <c r="B61" s="6"/>
      <c r="C61" s="6"/>
      <c r="D61" s="6"/>
      <c r="E61" s="6"/>
      <c r="F61" s="6"/>
      <c r="G61" s="6"/>
      <c r="H61" s="6"/>
    </row>
    <row r="62" customFormat="false" ht="15" hidden="false" customHeight="false" outlineLevel="0" collapsed="false">
      <c r="A62" s="21" t="s">
        <v>149</v>
      </c>
      <c r="B62" s="21" t="s">
        <v>52</v>
      </c>
      <c r="C62" s="21" t="s">
        <v>150</v>
      </c>
    </row>
    <row r="63" customFormat="false" ht="15" hidden="false" customHeight="false" outlineLevel="0" collapsed="false">
      <c r="A63" s="9" t="s">
        <v>151</v>
      </c>
      <c r="B63" s="12" t="n">
        <f aca="false">$B$7</f>
        <v>5</v>
      </c>
      <c r="C63" s="22" t="n">
        <v>2030</v>
      </c>
      <c r="D63" s="8" t="s">
        <v>152</v>
      </c>
    </row>
    <row r="64" customFormat="false" ht="15" hidden="false" customHeight="false" outlineLevel="0" collapsed="false">
      <c r="A64" s="9" t="s">
        <v>153</v>
      </c>
      <c r="B64" s="12" t="n">
        <f aca="false">$B$7</f>
        <v>5</v>
      </c>
      <c r="C64" s="22" t="n">
        <v>2031</v>
      </c>
    </row>
    <row r="65" customFormat="false" ht="15" hidden="false" customHeight="false" outlineLevel="0" collapsed="false">
      <c r="A65" s="9" t="s">
        <v>154</v>
      </c>
      <c r="B65" s="12" t="n">
        <f aca="false">$B$7</f>
        <v>5</v>
      </c>
      <c r="C65" s="22" t="n">
        <v>2032</v>
      </c>
    </row>
    <row r="66" customFormat="false" ht="15" hidden="false" customHeight="false" outlineLevel="0" collapsed="false">
      <c r="A66" s="9" t="s">
        <v>155</v>
      </c>
      <c r="B66" s="12" t="n">
        <f aca="false">$B$7</f>
        <v>5</v>
      </c>
      <c r="C66" s="22" t="n">
        <v>2033</v>
      </c>
    </row>
    <row r="68" customFormat="false" ht="15" hidden="false" customHeight="false" outlineLevel="0" collapsed="false">
      <c r="A68" s="3" t="s">
        <v>156</v>
      </c>
      <c r="B68" s="23" t="s">
        <v>157</v>
      </c>
      <c r="C68" s="23" t="s">
        <v>158</v>
      </c>
      <c r="D68" s="23" t="s">
        <v>159</v>
      </c>
      <c r="E68" s="23" t="s">
        <v>160</v>
      </c>
    </row>
    <row r="69" customFormat="false" ht="15" hidden="false" customHeight="false" outlineLevel="0" collapsed="false">
      <c r="B69" s="15" t="n">
        <f aca="false">B19</f>
        <v>0.4</v>
      </c>
      <c r="C69" s="15" t="n">
        <f aca="false">B20</f>
        <v>0.75</v>
      </c>
      <c r="D69" s="15" t="n">
        <f aca="false">B21</f>
        <v>0.92</v>
      </c>
      <c r="E69" s="15" t="n">
        <f aca="false">B22</f>
        <v>0.95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15" min="2" style="0" width="11"/>
  </cols>
  <sheetData>
    <row r="1" customFormat="false" ht="17.35" hidden="false" customHeight="false" outlineLevel="0" collapsed="false">
      <c r="A1" s="1" t="s">
        <v>161</v>
      </c>
    </row>
    <row r="2" customFormat="false" ht="15" hidden="false" customHeight="false" outlineLevel="0" collapsed="false">
      <c r="A2" s="8" t="s">
        <v>162</v>
      </c>
    </row>
    <row r="4" customFormat="false" ht="15" hidden="false" customHeight="false" outlineLevel="0" collapsed="false">
      <c r="A4" s="5" t="s">
        <v>163</v>
      </c>
      <c r="B4" s="6"/>
      <c r="C4" s="6"/>
      <c r="D4" s="6"/>
      <c r="E4" s="6"/>
      <c r="F4" s="6"/>
    </row>
    <row r="5" customFormat="false" ht="15" hidden="false" customHeight="false" outlineLevel="0" collapsed="false">
      <c r="A5" s="21" t="s">
        <v>164</v>
      </c>
      <c r="B5" s="21" t="s">
        <v>165</v>
      </c>
      <c r="C5" s="21" t="s">
        <v>166</v>
      </c>
    </row>
    <row r="6" customFormat="false" ht="15" hidden="false" customHeight="false" outlineLevel="0" collapsed="false">
      <c r="A6" s="9" t="s">
        <v>167</v>
      </c>
      <c r="B6" s="24" t="n">
        <f aca="false">Hypotheses!B34*(1+Hypotheses!B35)</f>
        <v>4.32</v>
      </c>
      <c r="C6" s="15" t="n">
        <f aca="false">B6/$B$11</f>
        <v>0.0209485016002328</v>
      </c>
    </row>
    <row r="7" customFormat="false" ht="15" hidden="false" customHeight="false" outlineLevel="0" collapsed="false">
      <c r="A7" s="9" t="s">
        <v>168</v>
      </c>
      <c r="B7" s="24" t="n">
        <f aca="false">Hypotheses!B36</f>
        <v>8</v>
      </c>
      <c r="C7" s="15" t="n">
        <f aca="false">B7/$B$11</f>
        <v>0.0387935214819125</v>
      </c>
    </row>
    <row r="8" customFormat="false" ht="15" hidden="false" customHeight="false" outlineLevel="0" collapsed="false">
      <c r="A8" s="9" t="s">
        <v>169</v>
      </c>
      <c r="B8" s="24" t="n">
        <f aca="false">Hypotheses!B37</f>
        <v>12</v>
      </c>
      <c r="C8" s="15" t="n">
        <f aca="false">B8/$B$11</f>
        <v>0.0581902822228688</v>
      </c>
    </row>
    <row r="9" customFormat="false" ht="15" hidden="false" customHeight="false" outlineLevel="0" collapsed="false">
      <c r="A9" s="9" t="s">
        <v>170</v>
      </c>
      <c r="B9" s="24" t="n">
        <f aca="false">Hypotheses!B5*Hypotheses!B38</f>
        <v>170</v>
      </c>
      <c r="C9" s="15" t="n">
        <f aca="false">B9/$B$11</f>
        <v>0.824362331490641</v>
      </c>
    </row>
    <row r="10" customFormat="false" ht="15" hidden="false" customHeight="false" outlineLevel="0" collapsed="false">
      <c r="A10" s="9" t="s">
        <v>118</v>
      </c>
      <c r="B10" s="24" t="n">
        <f aca="false">B9*Hypotheses!B40</f>
        <v>11.9</v>
      </c>
      <c r="C10" s="15" t="n">
        <f aca="false">B10/$B$11</f>
        <v>0.0577053632043449</v>
      </c>
    </row>
    <row r="11" customFormat="false" ht="15" hidden="false" customHeight="false" outlineLevel="0" collapsed="false">
      <c r="A11" s="25" t="s">
        <v>171</v>
      </c>
      <c r="B11" s="26" t="n">
        <f aca="false">SUM(B6:B10)</f>
        <v>206.22</v>
      </c>
      <c r="C11" s="27" t="n">
        <f aca="false">B11/$B$11</f>
        <v>1</v>
      </c>
    </row>
    <row r="12" customFormat="false" ht="15" hidden="false" customHeight="false" outlineLevel="0" collapsed="false">
      <c r="A12" s="9" t="s">
        <v>172</v>
      </c>
      <c r="B12" s="12" t="n">
        <f aca="false">B11/Hypotheses!B5</f>
        <v>10.311</v>
      </c>
      <c r="C12" s="8" t="s">
        <v>114</v>
      </c>
    </row>
    <row r="13" customFormat="false" ht="15" hidden="false" customHeight="false" outlineLevel="0" collapsed="false">
      <c r="A13" s="9" t="s">
        <v>173</v>
      </c>
      <c r="B13" s="13" t="n">
        <f aca="false">B11*1000000/Hypotheses!B9</f>
        <v>824880</v>
      </c>
      <c r="C13" s="8" t="s">
        <v>174</v>
      </c>
    </row>
    <row r="15" customFormat="false" ht="15" hidden="false" customHeight="false" outlineLevel="0" collapsed="false">
      <c r="A15" s="5" t="s">
        <v>175</v>
      </c>
      <c r="B15" s="6"/>
      <c r="C15" s="6"/>
      <c r="D15" s="6"/>
      <c r="E15" s="6"/>
      <c r="F15" s="6"/>
      <c r="G15" s="6"/>
      <c r="H15" s="6"/>
      <c r="I15" s="6"/>
      <c r="J15" s="6"/>
      <c r="K15" s="6"/>
      <c r="L15" s="6"/>
      <c r="M15" s="6"/>
      <c r="N15" s="6"/>
    </row>
    <row r="16" customFormat="false" ht="15" hidden="false" customHeight="false" outlineLevel="0" collapsed="false">
      <c r="A16" s="21" t="s">
        <v>176</v>
      </c>
      <c r="B16" s="21" t="s">
        <v>177</v>
      </c>
      <c r="C16" s="28" t="s">
        <v>178</v>
      </c>
      <c r="D16" s="28" t="s">
        <v>179</v>
      </c>
      <c r="E16" s="28" t="s">
        <v>180</v>
      </c>
      <c r="F16" s="28" t="s">
        <v>181</v>
      </c>
      <c r="G16" s="28" t="s">
        <v>182</v>
      </c>
      <c r="H16" s="28" t="s">
        <v>183</v>
      </c>
      <c r="I16" s="28" t="s">
        <v>184</v>
      </c>
      <c r="J16" s="28" t="s">
        <v>185</v>
      </c>
      <c r="K16" s="28" t="s">
        <v>186</v>
      </c>
      <c r="L16" s="28" t="s">
        <v>187</v>
      </c>
      <c r="M16" s="28" t="s">
        <v>188</v>
      </c>
      <c r="N16" s="28" t="s">
        <v>189</v>
      </c>
    </row>
    <row r="17" customFormat="false" ht="15" hidden="false" customHeight="false" outlineLevel="0" collapsed="false">
      <c r="A17" s="9" t="s">
        <v>190</v>
      </c>
      <c r="B17" s="12" t="n">
        <f aca="false">SUM(C17:N17)</f>
        <v>4.32</v>
      </c>
      <c r="C17" s="12" t="n">
        <f aca="false">$B6*0.3</f>
        <v>1.296</v>
      </c>
      <c r="D17" s="12" t="n">
        <f aca="false">$B6*0.7</f>
        <v>3.024</v>
      </c>
      <c r="E17" s="12" t="n">
        <v>0</v>
      </c>
      <c r="F17" s="12" t="n">
        <v>0</v>
      </c>
      <c r="G17" s="12" t="n">
        <v>0</v>
      </c>
      <c r="H17" s="12" t="n">
        <v>0</v>
      </c>
      <c r="I17" s="12" t="n">
        <v>0</v>
      </c>
      <c r="J17" s="12" t="n">
        <v>0</v>
      </c>
      <c r="K17" s="12" t="n">
        <v>0</v>
      </c>
      <c r="L17" s="12" t="n">
        <v>0</v>
      </c>
      <c r="M17" s="12" t="n">
        <v>0</v>
      </c>
      <c r="N17" s="12" t="n">
        <v>0</v>
      </c>
    </row>
    <row r="18" customFormat="false" ht="15" hidden="false" customHeight="false" outlineLevel="0" collapsed="false">
      <c r="A18" s="9" t="s">
        <v>191</v>
      </c>
      <c r="B18" s="12" t="n">
        <f aca="false">SUM(C18:N18)</f>
        <v>8</v>
      </c>
      <c r="C18" s="12" t="n">
        <f aca="false">$B7*0.2</f>
        <v>1.6</v>
      </c>
      <c r="D18" s="12" t="n">
        <f aca="false">$B7*0.3</f>
        <v>2.4</v>
      </c>
      <c r="E18" s="12" t="n">
        <f aca="false">$B7*0.3</f>
        <v>2.4</v>
      </c>
      <c r="F18" s="12" t="n">
        <f aca="false">$B7*0.15</f>
        <v>1.2</v>
      </c>
      <c r="G18" s="12" t="n">
        <f aca="false">$B7*0.05</f>
        <v>0.4</v>
      </c>
      <c r="H18" s="12" t="n">
        <v>0</v>
      </c>
      <c r="I18" s="12" t="n">
        <v>0</v>
      </c>
      <c r="J18" s="12" t="n">
        <v>0</v>
      </c>
      <c r="K18" s="12" t="n">
        <v>0</v>
      </c>
      <c r="L18" s="12" t="n">
        <v>0</v>
      </c>
      <c r="M18" s="12" t="n">
        <v>0</v>
      </c>
      <c r="N18" s="12" t="n">
        <v>0</v>
      </c>
    </row>
    <row r="19" customFormat="false" ht="15" hidden="false" customHeight="false" outlineLevel="0" collapsed="false">
      <c r="A19" s="9" t="s">
        <v>169</v>
      </c>
      <c r="B19" s="12" t="n">
        <f aca="false">SUM(C19:N19)</f>
        <v>12</v>
      </c>
      <c r="C19" s="12" t="n">
        <f aca="false">$B8*0.05</f>
        <v>0.6</v>
      </c>
      <c r="D19" s="12" t="n">
        <f aca="false">$B8*0.15</f>
        <v>1.8</v>
      </c>
      <c r="E19" s="12" t="n">
        <f aca="false">$B8*0.25</f>
        <v>3</v>
      </c>
      <c r="F19" s="12" t="n">
        <f aca="false">$B8*0.3</f>
        <v>3.6</v>
      </c>
      <c r="G19" s="12" t="n">
        <f aca="false">$B8*0.25</f>
        <v>3</v>
      </c>
      <c r="H19" s="12" t="n">
        <v>0</v>
      </c>
      <c r="I19" s="12" t="n">
        <v>0</v>
      </c>
      <c r="J19" s="12" t="n">
        <v>0</v>
      </c>
      <c r="K19" s="12" t="n">
        <v>0</v>
      </c>
      <c r="L19" s="12" t="n">
        <v>0</v>
      </c>
      <c r="M19" s="12" t="n">
        <v>0</v>
      </c>
      <c r="N19" s="12" t="n">
        <v>0</v>
      </c>
    </row>
    <row r="20" customFormat="false" ht="15" hidden="false" customHeight="false" outlineLevel="0" collapsed="false">
      <c r="A20" s="9" t="s">
        <v>192</v>
      </c>
      <c r="B20" s="12" t="n">
        <f aca="false">SUM(C20:N20)</f>
        <v>181.9</v>
      </c>
      <c r="C20" s="12" t="n">
        <f aca="false">IF(Hypotheses!$C$63-1=2026,(Hypotheses!$B$7*Hypotheses!$B$38*(1+Hypotheses!$B$40))*0.6,0)+IF(Hypotheses!$C$63=2026,(Hypotheses!$B$7*Hypotheses!$B$38*(1+Hypotheses!$B$40))*0.4,0)+IF(Hypotheses!$C$64-1=2026,(Hypotheses!$B$7*Hypotheses!$B$38*(1+Hypotheses!$B$40))*0.6,0)+IF(Hypotheses!$C$64=2026,(Hypotheses!$B$7*Hypotheses!$B$38*(1+Hypotheses!$B$40))*0.4,0)+IF(Hypotheses!$C$65-1=2026,(Hypotheses!$B$7*Hypotheses!$B$38*(1+Hypotheses!$B$40))*0.6,0)+IF(Hypotheses!$C$65=2026,(Hypotheses!$B$7*Hypotheses!$B$38*(1+Hypotheses!$B$40))*0.4,0)+IF(Hypotheses!$C$66-1=2026,(Hypotheses!$B$7*Hypotheses!$B$38*(1+Hypotheses!$B$40))*0.6,0)+IF(Hypotheses!$C$66=2026,(Hypotheses!$B$7*Hypotheses!$B$38*(1+Hypotheses!$B$40))*0.4,0)</f>
        <v>0</v>
      </c>
      <c r="D20" s="12" t="n">
        <f aca="false">IF(Hypotheses!$C$63-1=2027,(Hypotheses!$B$7*Hypotheses!$B$38*(1+Hypotheses!$B$40))*0.6,0)+IF(Hypotheses!$C$63=2027,(Hypotheses!$B$7*Hypotheses!$B$38*(1+Hypotheses!$B$40))*0.4,0)+IF(Hypotheses!$C$64-1=2027,(Hypotheses!$B$7*Hypotheses!$B$38*(1+Hypotheses!$B$40))*0.6,0)+IF(Hypotheses!$C$64=2027,(Hypotheses!$B$7*Hypotheses!$B$38*(1+Hypotheses!$B$40))*0.4,0)+IF(Hypotheses!$C$65-1=2027,(Hypotheses!$B$7*Hypotheses!$B$38*(1+Hypotheses!$B$40))*0.6,0)+IF(Hypotheses!$C$65=2027,(Hypotheses!$B$7*Hypotheses!$B$38*(1+Hypotheses!$B$40))*0.4,0)+IF(Hypotheses!$C$66-1=2027,(Hypotheses!$B$7*Hypotheses!$B$38*(1+Hypotheses!$B$40))*0.6,0)+IF(Hypotheses!$C$66=2027,(Hypotheses!$B$7*Hypotheses!$B$38*(1+Hypotheses!$B$40))*0.4,0)</f>
        <v>0</v>
      </c>
      <c r="E20" s="12" t="n">
        <f aca="false">IF(Hypotheses!$C$63-1=2028,(Hypotheses!$B$7*Hypotheses!$B$38*(1+Hypotheses!$B$40))*0.6,0)+IF(Hypotheses!$C$63=2028,(Hypotheses!$B$7*Hypotheses!$B$38*(1+Hypotheses!$B$40))*0.4,0)+IF(Hypotheses!$C$64-1=2028,(Hypotheses!$B$7*Hypotheses!$B$38*(1+Hypotheses!$B$40))*0.6,0)+IF(Hypotheses!$C$64=2028,(Hypotheses!$B$7*Hypotheses!$B$38*(1+Hypotheses!$B$40))*0.4,0)+IF(Hypotheses!$C$65-1=2028,(Hypotheses!$B$7*Hypotheses!$B$38*(1+Hypotheses!$B$40))*0.6,0)+IF(Hypotheses!$C$65=2028,(Hypotheses!$B$7*Hypotheses!$B$38*(1+Hypotheses!$B$40))*0.4,0)+IF(Hypotheses!$C$66-1=2028,(Hypotheses!$B$7*Hypotheses!$B$38*(1+Hypotheses!$B$40))*0.6,0)+IF(Hypotheses!$C$66=2028,(Hypotheses!$B$7*Hypotheses!$B$38*(1+Hypotheses!$B$40))*0.4,0)</f>
        <v>0</v>
      </c>
      <c r="F20" s="12" t="n">
        <f aca="false">IF(Hypotheses!$C$63-1=2029,(Hypotheses!$B$7*Hypotheses!$B$38*(1+Hypotheses!$B$40))*0.6,0)+IF(Hypotheses!$C$63=2029,(Hypotheses!$B$7*Hypotheses!$B$38*(1+Hypotheses!$B$40))*0.4,0)+IF(Hypotheses!$C$64-1=2029,(Hypotheses!$B$7*Hypotheses!$B$38*(1+Hypotheses!$B$40))*0.6,0)+IF(Hypotheses!$C$64=2029,(Hypotheses!$B$7*Hypotheses!$B$38*(1+Hypotheses!$B$40))*0.4,0)+IF(Hypotheses!$C$65-1=2029,(Hypotheses!$B$7*Hypotheses!$B$38*(1+Hypotheses!$B$40))*0.6,0)+IF(Hypotheses!$C$65=2029,(Hypotheses!$B$7*Hypotheses!$B$38*(1+Hypotheses!$B$40))*0.4,0)+IF(Hypotheses!$C$66-1=2029,(Hypotheses!$B$7*Hypotheses!$B$38*(1+Hypotheses!$B$40))*0.6,0)+IF(Hypotheses!$C$66=2029,(Hypotheses!$B$7*Hypotheses!$B$38*(1+Hypotheses!$B$40))*0.4,0)</f>
        <v>27.285</v>
      </c>
      <c r="G20" s="12" t="n">
        <f aca="false">IF(Hypotheses!$C$63-1=2030,(Hypotheses!$B$7*Hypotheses!$B$38*(1+Hypotheses!$B$40))*0.6,0)+IF(Hypotheses!$C$63=2030,(Hypotheses!$B$7*Hypotheses!$B$38*(1+Hypotheses!$B$40))*0.4,0)+IF(Hypotheses!$C$64-1=2030,(Hypotheses!$B$7*Hypotheses!$B$38*(1+Hypotheses!$B$40))*0.6,0)+IF(Hypotheses!$C$64=2030,(Hypotheses!$B$7*Hypotheses!$B$38*(1+Hypotheses!$B$40))*0.4,0)+IF(Hypotheses!$C$65-1=2030,(Hypotheses!$B$7*Hypotheses!$B$38*(1+Hypotheses!$B$40))*0.6,0)+IF(Hypotheses!$C$65=2030,(Hypotheses!$B$7*Hypotheses!$B$38*(1+Hypotheses!$B$40))*0.4,0)+IF(Hypotheses!$C$66-1=2030,(Hypotheses!$B$7*Hypotheses!$B$38*(1+Hypotheses!$B$40))*0.6,0)+IF(Hypotheses!$C$66=2030,(Hypotheses!$B$7*Hypotheses!$B$38*(1+Hypotheses!$B$40))*0.4,0)</f>
        <v>45.475</v>
      </c>
      <c r="H20" s="12" t="n">
        <f aca="false">IF(Hypotheses!$C$63-1=2031,(Hypotheses!$B$7*Hypotheses!$B$38*(1+Hypotheses!$B$40))*0.6,0)+IF(Hypotheses!$C$63=2031,(Hypotheses!$B$7*Hypotheses!$B$38*(1+Hypotheses!$B$40))*0.4,0)+IF(Hypotheses!$C$64-1=2031,(Hypotheses!$B$7*Hypotheses!$B$38*(1+Hypotheses!$B$40))*0.6,0)+IF(Hypotheses!$C$64=2031,(Hypotheses!$B$7*Hypotheses!$B$38*(1+Hypotheses!$B$40))*0.4,0)+IF(Hypotheses!$C$65-1=2031,(Hypotheses!$B$7*Hypotheses!$B$38*(1+Hypotheses!$B$40))*0.6,0)+IF(Hypotheses!$C$65=2031,(Hypotheses!$B$7*Hypotheses!$B$38*(1+Hypotheses!$B$40))*0.4,0)+IF(Hypotheses!$C$66-1=2031,(Hypotheses!$B$7*Hypotheses!$B$38*(1+Hypotheses!$B$40))*0.6,0)+IF(Hypotheses!$C$66=2031,(Hypotheses!$B$7*Hypotheses!$B$38*(1+Hypotheses!$B$40))*0.4,0)</f>
        <v>45.475</v>
      </c>
      <c r="I20" s="12" t="n">
        <f aca="false">IF(Hypotheses!$C$63-1=2032,(Hypotheses!$B$7*Hypotheses!$B$38*(1+Hypotheses!$B$40))*0.6,0)+IF(Hypotheses!$C$63=2032,(Hypotheses!$B$7*Hypotheses!$B$38*(1+Hypotheses!$B$40))*0.4,0)+IF(Hypotheses!$C$64-1=2032,(Hypotheses!$B$7*Hypotheses!$B$38*(1+Hypotheses!$B$40))*0.6,0)+IF(Hypotheses!$C$64=2032,(Hypotheses!$B$7*Hypotheses!$B$38*(1+Hypotheses!$B$40))*0.4,0)+IF(Hypotheses!$C$65-1=2032,(Hypotheses!$B$7*Hypotheses!$B$38*(1+Hypotheses!$B$40))*0.6,0)+IF(Hypotheses!$C$65=2032,(Hypotheses!$B$7*Hypotheses!$B$38*(1+Hypotheses!$B$40))*0.4,0)+IF(Hypotheses!$C$66-1=2032,(Hypotheses!$B$7*Hypotheses!$B$38*(1+Hypotheses!$B$40))*0.6,0)+IF(Hypotheses!$C$66=2032,(Hypotheses!$B$7*Hypotheses!$B$38*(1+Hypotheses!$B$40))*0.4,0)</f>
        <v>45.475</v>
      </c>
      <c r="J20" s="12" t="n">
        <f aca="false">IF(Hypotheses!$C$63-1=2033,(Hypotheses!$B$7*Hypotheses!$B$38*(1+Hypotheses!$B$40))*0.6,0)+IF(Hypotheses!$C$63=2033,(Hypotheses!$B$7*Hypotheses!$B$38*(1+Hypotheses!$B$40))*0.4,0)+IF(Hypotheses!$C$64-1=2033,(Hypotheses!$B$7*Hypotheses!$B$38*(1+Hypotheses!$B$40))*0.6,0)+IF(Hypotheses!$C$64=2033,(Hypotheses!$B$7*Hypotheses!$B$38*(1+Hypotheses!$B$40))*0.4,0)+IF(Hypotheses!$C$65-1=2033,(Hypotheses!$B$7*Hypotheses!$B$38*(1+Hypotheses!$B$40))*0.6,0)+IF(Hypotheses!$C$65=2033,(Hypotheses!$B$7*Hypotheses!$B$38*(1+Hypotheses!$B$40))*0.4,0)+IF(Hypotheses!$C$66-1=2033,(Hypotheses!$B$7*Hypotheses!$B$38*(1+Hypotheses!$B$40))*0.6,0)+IF(Hypotheses!$C$66=2033,(Hypotheses!$B$7*Hypotheses!$B$38*(1+Hypotheses!$B$40))*0.4,0)</f>
        <v>18.19</v>
      </c>
      <c r="K20" s="12" t="n">
        <f aca="false">IF(Hypotheses!$C$63-1=2034,(Hypotheses!$B$7*Hypotheses!$B$38*(1+Hypotheses!$B$40))*0.6,0)+IF(Hypotheses!$C$63=2034,(Hypotheses!$B$7*Hypotheses!$B$38*(1+Hypotheses!$B$40))*0.4,0)+IF(Hypotheses!$C$64-1=2034,(Hypotheses!$B$7*Hypotheses!$B$38*(1+Hypotheses!$B$40))*0.6,0)+IF(Hypotheses!$C$64=2034,(Hypotheses!$B$7*Hypotheses!$B$38*(1+Hypotheses!$B$40))*0.4,0)+IF(Hypotheses!$C$65-1=2034,(Hypotheses!$B$7*Hypotheses!$B$38*(1+Hypotheses!$B$40))*0.6,0)+IF(Hypotheses!$C$65=2034,(Hypotheses!$B$7*Hypotheses!$B$38*(1+Hypotheses!$B$40))*0.4,0)+IF(Hypotheses!$C$66-1=2034,(Hypotheses!$B$7*Hypotheses!$B$38*(1+Hypotheses!$B$40))*0.6,0)+IF(Hypotheses!$C$66=2034,(Hypotheses!$B$7*Hypotheses!$B$38*(1+Hypotheses!$B$40))*0.4,0)</f>
        <v>0</v>
      </c>
      <c r="L20" s="12" t="n">
        <f aca="false">IF(Hypotheses!$C$63-1=2035,(Hypotheses!$B$7*Hypotheses!$B$38*(1+Hypotheses!$B$40))*0.6,0)+IF(Hypotheses!$C$63=2035,(Hypotheses!$B$7*Hypotheses!$B$38*(1+Hypotheses!$B$40))*0.4,0)+IF(Hypotheses!$C$64-1=2035,(Hypotheses!$B$7*Hypotheses!$B$38*(1+Hypotheses!$B$40))*0.6,0)+IF(Hypotheses!$C$64=2035,(Hypotheses!$B$7*Hypotheses!$B$38*(1+Hypotheses!$B$40))*0.4,0)+IF(Hypotheses!$C$65-1=2035,(Hypotheses!$B$7*Hypotheses!$B$38*(1+Hypotheses!$B$40))*0.6,0)+IF(Hypotheses!$C$65=2035,(Hypotheses!$B$7*Hypotheses!$B$38*(1+Hypotheses!$B$40))*0.4,0)+IF(Hypotheses!$C$66-1=2035,(Hypotheses!$B$7*Hypotheses!$B$38*(1+Hypotheses!$B$40))*0.6,0)+IF(Hypotheses!$C$66=2035,(Hypotheses!$B$7*Hypotheses!$B$38*(1+Hypotheses!$B$40))*0.4,0)</f>
        <v>0</v>
      </c>
      <c r="M20" s="12" t="n">
        <f aca="false">IF(Hypotheses!$C$63-1=2036,(Hypotheses!$B$7*Hypotheses!$B$38*(1+Hypotheses!$B$40))*0.6,0)+IF(Hypotheses!$C$63=2036,(Hypotheses!$B$7*Hypotheses!$B$38*(1+Hypotheses!$B$40))*0.4,0)+IF(Hypotheses!$C$64-1=2036,(Hypotheses!$B$7*Hypotheses!$B$38*(1+Hypotheses!$B$40))*0.6,0)+IF(Hypotheses!$C$64=2036,(Hypotheses!$B$7*Hypotheses!$B$38*(1+Hypotheses!$B$40))*0.4,0)+IF(Hypotheses!$C$65-1=2036,(Hypotheses!$B$7*Hypotheses!$B$38*(1+Hypotheses!$B$40))*0.6,0)+IF(Hypotheses!$C$65=2036,(Hypotheses!$B$7*Hypotheses!$B$38*(1+Hypotheses!$B$40))*0.4,0)+IF(Hypotheses!$C$66-1=2036,(Hypotheses!$B$7*Hypotheses!$B$38*(1+Hypotheses!$B$40))*0.6,0)+IF(Hypotheses!$C$66=2036,(Hypotheses!$B$7*Hypotheses!$B$38*(1+Hypotheses!$B$40))*0.4,0)</f>
        <v>0</v>
      </c>
      <c r="N20" s="12" t="n">
        <f aca="false">IF(Hypotheses!$C$63-1=2037,(Hypotheses!$B$7*Hypotheses!$B$38*(1+Hypotheses!$B$40))*0.6,0)+IF(Hypotheses!$C$63=2037,(Hypotheses!$B$7*Hypotheses!$B$38*(1+Hypotheses!$B$40))*0.4,0)+IF(Hypotheses!$C$64-1=2037,(Hypotheses!$B$7*Hypotheses!$B$38*(1+Hypotheses!$B$40))*0.6,0)+IF(Hypotheses!$C$64=2037,(Hypotheses!$B$7*Hypotheses!$B$38*(1+Hypotheses!$B$40))*0.4,0)+IF(Hypotheses!$C$65-1=2037,(Hypotheses!$B$7*Hypotheses!$B$38*(1+Hypotheses!$B$40))*0.6,0)+IF(Hypotheses!$C$65=2037,(Hypotheses!$B$7*Hypotheses!$B$38*(1+Hypotheses!$B$40))*0.4,0)+IF(Hypotheses!$C$66-1=2037,(Hypotheses!$B$7*Hypotheses!$B$38*(1+Hypotheses!$B$40))*0.6,0)+IF(Hypotheses!$C$66=2037,(Hypotheses!$B$7*Hypotheses!$B$38*(1+Hypotheses!$B$40))*0.4,0)</f>
        <v>0</v>
      </c>
    </row>
    <row r="22" customFormat="false" ht="15" hidden="false" customHeight="false" outlineLevel="0" collapsed="false">
      <c r="A22" s="25" t="s">
        <v>193</v>
      </c>
      <c r="B22" s="26" t="n">
        <f aca="false">SUM(C22:N22)</f>
        <v>206.22</v>
      </c>
      <c r="C22" s="26" t="n">
        <f aca="false">SUM(C17:C20)</f>
        <v>3.496</v>
      </c>
      <c r="D22" s="26" t="n">
        <f aca="false">SUM(D17:D20)</f>
        <v>7.224</v>
      </c>
      <c r="E22" s="26" t="n">
        <f aca="false">SUM(E17:E20)</f>
        <v>5.4</v>
      </c>
      <c r="F22" s="26" t="n">
        <f aca="false">SUM(F17:F20)</f>
        <v>32.085</v>
      </c>
      <c r="G22" s="26" t="n">
        <f aca="false">SUM(G17:G20)</f>
        <v>48.875</v>
      </c>
      <c r="H22" s="26" t="n">
        <f aca="false">SUM(H17:H20)</f>
        <v>45.475</v>
      </c>
      <c r="I22" s="26" t="n">
        <f aca="false">SUM(I17:I20)</f>
        <v>45.475</v>
      </c>
      <c r="J22" s="26" t="n">
        <f aca="false">SUM(J17:J20)</f>
        <v>18.19</v>
      </c>
      <c r="K22" s="26" t="n">
        <f aca="false">SUM(K17:K20)</f>
        <v>0</v>
      </c>
      <c r="L22" s="26" t="n">
        <f aca="false">SUM(L17:L20)</f>
        <v>0</v>
      </c>
      <c r="M22" s="26" t="n">
        <f aca="false">SUM(M17:M20)</f>
        <v>0</v>
      </c>
      <c r="N22" s="26" t="n">
        <f aca="false">SUM(N17:N20)</f>
        <v>0</v>
      </c>
    </row>
    <row r="23" customFormat="false" ht="15" hidden="false" customHeight="false" outlineLevel="0" collapsed="false">
      <c r="A23" s="9" t="s">
        <v>194</v>
      </c>
      <c r="C23" s="12" t="n">
        <f aca="false">C22</f>
        <v>3.496</v>
      </c>
      <c r="D23" s="12" t="n">
        <f aca="false">C23+D22</f>
        <v>10.72</v>
      </c>
      <c r="E23" s="12" t="n">
        <f aca="false">D23+E22</f>
        <v>16.12</v>
      </c>
      <c r="F23" s="12" t="n">
        <f aca="false">E23+F22</f>
        <v>48.205</v>
      </c>
      <c r="G23" s="12" t="n">
        <f aca="false">F23+G22</f>
        <v>97.08</v>
      </c>
      <c r="H23" s="12" t="n">
        <f aca="false">G23+H22</f>
        <v>142.555</v>
      </c>
      <c r="I23" s="12" t="n">
        <f aca="false">H23+I22</f>
        <v>188.03</v>
      </c>
      <c r="J23" s="12" t="n">
        <f aca="false">I23+J22</f>
        <v>206.22</v>
      </c>
      <c r="K23" s="12" t="n">
        <f aca="false">J23+K22</f>
        <v>206.22</v>
      </c>
      <c r="L23" s="12" t="n">
        <f aca="false">K23+L22</f>
        <v>206.22</v>
      </c>
      <c r="M23" s="12" t="n">
        <f aca="false">L23+M22</f>
        <v>206.22</v>
      </c>
      <c r="N23" s="12" t="n">
        <f aca="false">M23+N22</f>
        <v>206.22</v>
      </c>
    </row>
    <row r="25" customFormat="false" ht="15" hidden="false" customHeight="false" outlineLevel="0" collapsed="false">
      <c r="A25" s="8" t="s">
        <v>195</v>
      </c>
    </row>
    <row r="26" customFormat="false" ht="15" hidden="false" customHeight="false" outlineLevel="0" collapsed="false">
      <c r="A26" s="8" t="s">
        <v>196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15" min="2" style="0" width="11"/>
  </cols>
  <sheetData>
    <row r="1" customFormat="false" ht="17.35" hidden="false" customHeight="false" outlineLevel="0" collapsed="false">
      <c r="A1" s="1" t="s">
        <v>197</v>
      </c>
    </row>
    <row r="2" customFormat="false" ht="15" hidden="false" customHeight="false" outlineLevel="0" collapsed="false">
      <c r="A2" s="8" t="s">
        <v>198</v>
      </c>
    </row>
    <row r="4" customFormat="false" ht="15" hidden="false" customHeight="false" outlineLevel="0" collapsed="false">
      <c r="A4" s="21" t="s">
        <v>176</v>
      </c>
      <c r="B4" s="21" t="s">
        <v>199</v>
      </c>
      <c r="C4" s="28" t="s">
        <v>178</v>
      </c>
      <c r="D4" s="28" t="s">
        <v>179</v>
      </c>
      <c r="E4" s="28" t="s">
        <v>180</v>
      </c>
      <c r="F4" s="28" t="s">
        <v>181</v>
      </c>
      <c r="G4" s="28" t="s">
        <v>182</v>
      </c>
      <c r="H4" s="28" t="s">
        <v>183</v>
      </c>
      <c r="I4" s="28" t="s">
        <v>184</v>
      </c>
      <c r="J4" s="28" t="s">
        <v>185</v>
      </c>
      <c r="K4" s="28" t="s">
        <v>186</v>
      </c>
      <c r="L4" s="28" t="s">
        <v>187</v>
      </c>
      <c r="M4" s="28" t="s">
        <v>188</v>
      </c>
      <c r="N4" s="28" t="s">
        <v>189</v>
      </c>
    </row>
    <row r="6" customFormat="false" ht="15" hidden="false" customHeight="false" outlineLevel="0" collapsed="false">
      <c r="A6" s="5" t="s">
        <v>200</v>
      </c>
      <c r="B6" s="6"/>
      <c r="C6" s="6"/>
      <c r="D6" s="6"/>
      <c r="E6" s="6"/>
      <c r="F6" s="6"/>
      <c r="G6" s="6"/>
      <c r="H6" s="6"/>
      <c r="I6" s="6"/>
      <c r="J6" s="6"/>
      <c r="K6" s="6"/>
      <c r="L6" s="6"/>
      <c r="M6" s="6"/>
      <c r="N6" s="6"/>
    </row>
    <row r="7" customFormat="false" ht="15" hidden="false" customHeight="false" outlineLevel="0" collapsed="false">
      <c r="A7" s="9" t="s">
        <v>201</v>
      </c>
      <c r="B7" s="8" t="s">
        <v>52</v>
      </c>
      <c r="C7" s="12" t="n">
        <f aca="false">IF(Hypotheses!$C$63&lt;=2026,Hypotheses!$B$63,0)+IF(Hypotheses!$C$64&lt;=2026,Hypotheses!$B$64,0)+IF(Hypotheses!$C$65&lt;=2026,Hypotheses!$B$65,0)+IF(Hypotheses!$C$66&lt;=2026,Hypotheses!$B$66,0)</f>
        <v>0</v>
      </c>
      <c r="D7" s="12" t="n">
        <f aca="false">IF(Hypotheses!$C$63&lt;=2027,Hypotheses!$B$63,0)+IF(Hypotheses!$C$64&lt;=2027,Hypotheses!$B$64,0)+IF(Hypotheses!$C$65&lt;=2027,Hypotheses!$B$65,0)+IF(Hypotheses!$C$66&lt;=2027,Hypotheses!$B$66,0)</f>
        <v>0</v>
      </c>
      <c r="E7" s="12" t="n">
        <f aca="false">IF(Hypotheses!$C$63&lt;=2028,Hypotheses!$B$63,0)+IF(Hypotheses!$C$64&lt;=2028,Hypotheses!$B$64,0)+IF(Hypotheses!$C$65&lt;=2028,Hypotheses!$B$65,0)+IF(Hypotheses!$C$66&lt;=2028,Hypotheses!$B$66,0)</f>
        <v>0</v>
      </c>
      <c r="F7" s="12" t="n">
        <f aca="false">IF(Hypotheses!$C$63&lt;=2029,Hypotheses!$B$63,0)+IF(Hypotheses!$C$64&lt;=2029,Hypotheses!$B$64,0)+IF(Hypotheses!$C$65&lt;=2029,Hypotheses!$B$65,0)+IF(Hypotheses!$C$66&lt;=2029,Hypotheses!$B$66,0)</f>
        <v>0</v>
      </c>
      <c r="G7" s="12" t="n">
        <f aca="false">IF(Hypotheses!$C$63&lt;=2030,Hypotheses!$B$63,0)+IF(Hypotheses!$C$64&lt;=2030,Hypotheses!$B$64,0)+IF(Hypotheses!$C$65&lt;=2030,Hypotheses!$B$65,0)+IF(Hypotheses!$C$66&lt;=2030,Hypotheses!$B$66,0)</f>
        <v>5</v>
      </c>
      <c r="H7" s="12" t="n">
        <f aca="false">IF(Hypotheses!$C$63&lt;=2031,Hypotheses!$B$63,0)+IF(Hypotheses!$C$64&lt;=2031,Hypotheses!$B$64,0)+IF(Hypotheses!$C$65&lt;=2031,Hypotheses!$B$65,0)+IF(Hypotheses!$C$66&lt;=2031,Hypotheses!$B$66,0)</f>
        <v>10</v>
      </c>
      <c r="I7" s="12" t="n">
        <f aca="false">IF(Hypotheses!$C$63&lt;=2032,Hypotheses!$B$63,0)+IF(Hypotheses!$C$64&lt;=2032,Hypotheses!$B$64,0)+IF(Hypotheses!$C$65&lt;=2032,Hypotheses!$B$65,0)+IF(Hypotheses!$C$66&lt;=2032,Hypotheses!$B$66,0)</f>
        <v>15</v>
      </c>
      <c r="J7" s="12" t="n">
        <f aca="false">IF(Hypotheses!$C$63&lt;=2033,Hypotheses!$B$63,0)+IF(Hypotheses!$C$64&lt;=2033,Hypotheses!$B$64,0)+IF(Hypotheses!$C$65&lt;=2033,Hypotheses!$B$65,0)+IF(Hypotheses!$C$66&lt;=2033,Hypotheses!$B$66,0)</f>
        <v>20</v>
      </c>
      <c r="K7" s="12" t="n">
        <f aca="false">IF(Hypotheses!$C$63&lt;=2034,Hypotheses!$B$63,0)+IF(Hypotheses!$C$64&lt;=2034,Hypotheses!$B$64,0)+IF(Hypotheses!$C$65&lt;=2034,Hypotheses!$B$65,0)+IF(Hypotheses!$C$66&lt;=2034,Hypotheses!$B$66,0)</f>
        <v>20</v>
      </c>
      <c r="L7" s="12" t="n">
        <f aca="false">IF(Hypotheses!$C$63&lt;=2035,Hypotheses!$B$63,0)+IF(Hypotheses!$C$64&lt;=2035,Hypotheses!$B$64,0)+IF(Hypotheses!$C$65&lt;=2035,Hypotheses!$B$65,0)+IF(Hypotheses!$C$66&lt;=2035,Hypotheses!$B$66,0)</f>
        <v>20</v>
      </c>
      <c r="M7" s="12" t="n">
        <f aca="false">IF(Hypotheses!$C$63&lt;=2036,Hypotheses!$B$63,0)+IF(Hypotheses!$C$64&lt;=2036,Hypotheses!$B$64,0)+IF(Hypotheses!$C$65&lt;=2036,Hypotheses!$B$65,0)+IF(Hypotheses!$C$66&lt;=2036,Hypotheses!$B$66,0)</f>
        <v>20</v>
      </c>
      <c r="N7" s="12" t="n">
        <f aca="false">IF(Hypotheses!$C$63&lt;=2037,Hypotheses!$B$63,0)+IF(Hypotheses!$C$64&lt;=2037,Hypotheses!$B$64,0)+IF(Hypotheses!$C$65&lt;=2037,Hypotheses!$B$65,0)+IF(Hypotheses!$C$66&lt;=2037,Hypotheses!$B$66,0)</f>
        <v>20</v>
      </c>
    </row>
    <row r="8" customFormat="false" ht="15" hidden="false" customHeight="false" outlineLevel="0" collapsed="false">
      <c r="A8" s="9" t="s">
        <v>202</v>
      </c>
      <c r="B8" s="8" t="s">
        <v>52</v>
      </c>
      <c r="C8" s="12" t="n">
        <f aca="false">IF(2026&lt;Hypotheses!$C$63,0,Hypotheses!$B$7*INDEX(Hypotheses!$B$69:$E$69,MIN(2026-Hypotheses!$C$63+1,4)))</f>
        <v>0</v>
      </c>
      <c r="D8" s="12" t="n">
        <f aca="false">IF(2027&lt;Hypotheses!$C$63,0,Hypotheses!$B$7*INDEX(Hypotheses!$B$69:$E$69,MIN(2027-Hypotheses!$C$63+1,4)))</f>
        <v>0</v>
      </c>
      <c r="E8" s="12" t="n">
        <f aca="false">IF(2028&lt;Hypotheses!$C$63,0,Hypotheses!$B$7*INDEX(Hypotheses!$B$69:$E$69,MIN(2028-Hypotheses!$C$63+1,4)))</f>
        <v>0</v>
      </c>
      <c r="F8" s="12" t="n">
        <f aca="false">IF(2029&lt;Hypotheses!$C$63,0,Hypotheses!$B$7*INDEX(Hypotheses!$B$69:$E$69,MIN(2029-Hypotheses!$C$63+1,4)))</f>
        <v>0</v>
      </c>
      <c r="G8" s="12" t="n">
        <f aca="false">IF(2030&lt;Hypotheses!$C$63,0,Hypotheses!$B$7*INDEX(Hypotheses!$B$69:$E$69,MIN(2030-Hypotheses!$C$63+1,4)))</f>
        <v>2</v>
      </c>
      <c r="H8" s="12" t="n">
        <f aca="false">IF(2031&lt;Hypotheses!$C$63,0,Hypotheses!$B$7*INDEX(Hypotheses!$B$69:$E$69,MIN(2031-Hypotheses!$C$63+1,4)))</f>
        <v>3.75</v>
      </c>
      <c r="I8" s="12" t="n">
        <f aca="false">IF(2032&lt;Hypotheses!$C$63,0,Hypotheses!$B$7*INDEX(Hypotheses!$B$69:$E$69,MIN(2032-Hypotheses!$C$63+1,4)))</f>
        <v>4.6</v>
      </c>
      <c r="J8" s="12" t="n">
        <f aca="false">IF(2033&lt;Hypotheses!$C$63,0,Hypotheses!$B$7*INDEX(Hypotheses!$B$69:$E$69,MIN(2033-Hypotheses!$C$63+1,4)))</f>
        <v>4.75</v>
      </c>
      <c r="K8" s="12" t="n">
        <f aca="false">IF(2034&lt;Hypotheses!$C$63,0,Hypotheses!$B$7*INDEX(Hypotheses!$B$69:$E$69,MIN(2034-Hypotheses!$C$63+1,4)))</f>
        <v>4.75</v>
      </c>
      <c r="L8" s="12" t="n">
        <f aca="false">IF(2035&lt;Hypotheses!$C$63,0,Hypotheses!$B$7*INDEX(Hypotheses!$B$69:$E$69,MIN(2035-Hypotheses!$C$63+1,4)))</f>
        <v>4.75</v>
      </c>
      <c r="M8" s="12" t="n">
        <f aca="false">IF(2036&lt;Hypotheses!$C$63,0,Hypotheses!$B$7*INDEX(Hypotheses!$B$69:$E$69,MIN(2036-Hypotheses!$C$63+1,4)))</f>
        <v>4.75</v>
      </c>
      <c r="N8" s="12" t="n">
        <f aca="false">IF(2037&lt;Hypotheses!$C$63,0,Hypotheses!$B$7*INDEX(Hypotheses!$B$69:$E$69,MIN(2037-Hypotheses!$C$63+1,4)))</f>
        <v>4.75</v>
      </c>
    </row>
    <row r="9" customFormat="false" ht="15" hidden="false" customHeight="false" outlineLevel="0" collapsed="false">
      <c r="A9" s="9" t="s">
        <v>203</v>
      </c>
      <c r="B9" s="8" t="s">
        <v>52</v>
      </c>
      <c r="C9" s="12" t="n">
        <f aca="false">IF(2026&lt;Hypotheses!$C$64,0,Hypotheses!$B$7*INDEX(Hypotheses!$B$69:$E$69,MIN(2026-Hypotheses!$C$64+1,4)))</f>
        <v>0</v>
      </c>
      <c r="D9" s="12" t="n">
        <f aca="false">IF(2027&lt;Hypotheses!$C$64,0,Hypotheses!$B$7*INDEX(Hypotheses!$B$69:$E$69,MIN(2027-Hypotheses!$C$64+1,4)))</f>
        <v>0</v>
      </c>
      <c r="E9" s="12" t="n">
        <f aca="false">IF(2028&lt;Hypotheses!$C$64,0,Hypotheses!$B$7*INDEX(Hypotheses!$B$69:$E$69,MIN(2028-Hypotheses!$C$64+1,4)))</f>
        <v>0</v>
      </c>
      <c r="F9" s="12" t="n">
        <f aca="false">IF(2029&lt;Hypotheses!$C$64,0,Hypotheses!$B$7*INDEX(Hypotheses!$B$69:$E$69,MIN(2029-Hypotheses!$C$64+1,4)))</f>
        <v>0</v>
      </c>
      <c r="G9" s="12" t="n">
        <f aca="false">IF(2030&lt;Hypotheses!$C$64,0,Hypotheses!$B$7*INDEX(Hypotheses!$B$69:$E$69,MIN(2030-Hypotheses!$C$64+1,4)))</f>
        <v>0</v>
      </c>
      <c r="H9" s="12" t="n">
        <f aca="false">IF(2031&lt;Hypotheses!$C$64,0,Hypotheses!$B$7*INDEX(Hypotheses!$B$69:$E$69,MIN(2031-Hypotheses!$C$64+1,4)))</f>
        <v>2</v>
      </c>
      <c r="I9" s="12" t="n">
        <f aca="false">IF(2032&lt;Hypotheses!$C$64,0,Hypotheses!$B$7*INDEX(Hypotheses!$B$69:$E$69,MIN(2032-Hypotheses!$C$64+1,4)))</f>
        <v>3.75</v>
      </c>
      <c r="J9" s="12" t="n">
        <f aca="false">IF(2033&lt;Hypotheses!$C$64,0,Hypotheses!$B$7*INDEX(Hypotheses!$B$69:$E$69,MIN(2033-Hypotheses!$C$64+1,4)))</f>
        <v>4.6</v>
      </c>
      <c r="K9" s="12" t="n">
        <f aca="false">IF(2034&lt;Hypotheses!$C$64,0,Hypotheses!$B$7*INDEX(Hypotheses!$B$69:$E$69,MIN(2034-Hypotheses!$C$64+1,4)))</f>
        <v>4.75</v>
      </c>
      <c r="L9" s="12" t="n">
        <f aca="false">IF(2035&lt;Hypotheses!$C$64,0,Hypotheses!$B$7*INDEX(Hypotheses!$B$69:$E$69,MIN(2035-Hypotheses!$C$64+1,4)))</f>
        <v>4.75</v>
      </c>
      <c r="M9" s="12" t="n">
        <f aca="false">IF(2036&lt;Hypotheses!$C$64,0,Hypotheses!$B$7*INDEX(Hypotheses!$B$69:$E$69,MIN(2036-Hypotheses!$C$64+1,4)))</f>
        <v>4.75</v>
      </c>
      <c r="N9" s="12" t="n">
        <f aca="false">IF(2037&lt;Hypotheses!$C$64,0,Hypotheses!$B$7*INDEX(Hypotheses!$B$69:$E$69,MIN(2037-Hypotheses!$C$64+1,4)))</f>
        <v>4.75</v>
      </c>
    </row>
    <row r="10" customFormat="false" ht="15" hidden="false" customHeight="false" outlineLevel="0" collapsed="false">
      <c r="A10" s="9" t="s">
        <v>204</v>
      </c>
      <c r="B10" s="8" t="s">
        <v>52</v>
      </c>
      <c r="C10" s="12" t="n">
        <f aca="false">IF(2026&lt;Hypotheses!$C$65,0,Hypotheses!$B$7*INDEX(Hypotheses!$B$69:$E$69,MIN(2026-Hypotheses!$C$65+1,4)))</f>
        <v>0</v>
      </c>
      <c r="D10" s="12" t="n">
        <f aca="false">IF(2027&lt;Hypotheses!$C$65,0,Hypotheses!$B$7*INDEX(Hypotheses!$B$69:$E$69,MIN(2027-Hypotheses!$C$65+1,4)))</f>
        <v>0</v>
      </c>
      <c r="E10" s="12" t="n">
        <f aca="false">IF(2028&lt;Hypotheses!$C$65,0,Hypotheses!$B$7*INDEX(Hypotheses!$B$69:$E$69,MIN(2028-Hypotheses!$C$65+1,4)))</f>
        <v>0</v>
      </c>
      <c r="F10" s="12" t="n">
        <f aca="false">IF(2029&lt;Hypotheses!$C$65,0,Hypotheses!$B$7*INDEX(Hypotheses!$B$69:$E$69,MIN(2029-Hypotheses!$C$65+1,4)))</f>
        <v>0</v>
      </c>
      <c r="G10" s="12" t="n">
        <f aca="false">IF(2030&lt;Hypotheses!$C$65,0,Hypotheses!$B$7*INDEX(Hypotheses!$B$69:$E$69,MIN(2030-Hypotheses!$C$65+1,4)))</f>
        <v>0</v>
      </c>
      <c r="H10" s="12" t="n">
        <f aca="false">IF(2031&lt;Hypotheses!$C$65,0,Hypotheses!$B$7*INDEX(Hypotheses!$B$69:$E$69,MIN(2031-Hypotheses!$C$65+1,4)))</f>
        <v>0</v>
      </c>
      <c r="I10" s="12" t="n">
        <f aca="false">IF(2032&lt;Hypotheses!$C$65,0,Hypotheses!$B$7*INDEX(Hypotheses!$B$69:$E$69,MIN(2032-Hypotheses!$C$65+1,4)))</f>
        <v>2</v>
      </c>
      <c r="J10" s="12" t="n">
        <f aca="false">IF(2033&lt;Hypotheses!$C$65,0,Hypotheses!$B$7*INDEX(Hypotheses!$B$69:$E$69,MIN(2033-Hypotheses!$C$65+1,4)))</f>
        <v>3.75</v>
      </c>
      <c r="K10" s="12" t="n">
        <f aca="false">IF(2034&lt;Hypotheses!$C$65,0,Hypotheses!$B$7*INDEX(Hypotheses!$B$69:$E$69,MIN(2034-Hypotheses!$C$65+1,4)))</f>
        <v>4.6</v>
      </c>
      <c r="L10" s="12" t="n">
        <f aca="false">IF(2035&lt;Hypotheses!$C$65,0,Hypotheses!$B$7*INDEX(Hypotheses!$B$69:$E$69,MIN(2035-Hypotheses!$C$65+1,4)))</f>
        <v>4.75</v>
      </c>
      <c r="M10" s="12" t="n">
        <f aca="false">IF(2036&lt;Hypotheses!$C$65,0,Hypotheses!$B$7*INDEX(Hypotheses!$B$69:$E$69,MIN(2036-Hypotheses!$C$65+1,4)))</f>
        <v>4.75</v>
      </c>
      <c r="N10" s="12" t="n">
        <f aca="false">IF(2037&lt;Hypotheses!$C$65,0,Hypotheses!$B$7*INDEX(Hypotheses!$B$69:$E$69,MIN(2037-Hypotheses!$C$65+1,4)))</f>
        <v>4.75</v>
      </c>
    </row>
    <row r="11" customFormat="false" ht="15" hidden="false" customHeight="false" outlineLevel="0" collapsed="false">
      <c r="A11" s="9" t="s">
        <v>205</v>
      </c>
      <c r="B11" s="8" t="s">
        <v>52</v>
      </c>
      <c r="C11" s="12" t="n">
        <f aca="false">IF(2026&lt;Hypotheses!$C$66,0,Hypotheses!$B$7*INDEX(Hypotheses!$B$69:$E$69,MIN(2026-Hypotheses!$C$66+1,4)))</f>
        <v>0</v>
      </c>
      <c r="D11" s="12" t="n">
        <f aca="false">IF(2027&lt;Hypotheses!$C$66,0,Hypotheses!$B$7*INDEX(Hypotheses!$B$69:$E$69,MIN(2027-Hypotheses!$C$66+1,4)))</f>
        <v>0</v>
      </c>
      <c r="E11" s="12" t="n">
        <f aca="false">IF(2028&lt;Hypotheses!$C$66,0,Hypotheses!$B$7*INDEX(Hypotheses!$B$69:$E$69,MIN(2028-Hypotheses!$C$66+1,4)))</f>
        <v>0</v>
      </c>
      <c r="F11" s="12" t="n">
        <f aca="false">IF(2029&lt;Hypotheses!$C$66,0,Hypotheses!$B$7*INDEX(Hypotheses!$B$69:$E$69,MIN(2029-Hypotheses!$C$66+1,4)))</f>
        <v>0</v>
      </c>
      <c r="G11" s="12" t="n">
        <f aca="false">IF(2030&lt;Hypotheses!$C$66,0,Hypotheses!$B$7*INDEX(Hypotheses!$B$69:$E$69,MIN(2030-Hypotheses!$C$66+1,4)))</f>
        <v>0</v>
      </c>
      <c r="H11" s="12" t="n">
        <f aca="false">IF(2031&lt;Hypotheses!$C$66,0,Hypotheses!$B$7*INDEX(Hypotheses!$B$69:$E$69,MIN(2031-Hypotheses!$C$66+1,4)))</f>
        <v>0</v>
      </c>
      <c r="I11" s="12" t="n">
        <f aca="false">IF(2032&lt;Hypotheses!$C$66,0,Hypotheses!$B$7*INDEX(Hypotheses!$B$69:$E$69,MIN(2032-Hypotheses!$C$66+1,4)))</f>
        <v>0</v>
      </c>
      <c r="J11" s="12" t="n">
        <f aca="false">IF(2033&lt;Hypotheses!$C$66,0,Hypotheses!$B$7*INDEX(Hypotheses!$B$69:$E$69,MIN(2033-Hypotheses!$C$66+1,4)))</f>
        <v>2</v>
      </c>
      <c r="K11" s="12" t="n">
        <f aca="false">IF(2034&lt;Hypotheses!$C$66,0,Hypotheses!$B$7*INDEX(Hypotheses!$B$69:$E$69,MIN(2034-Hypotheses!$C$66+1,4)))</f>
        <v>3.75</v>
      </c>
      <c r="L11" s="12" t="n">
        <f aca="false">IF(2035&lt;Hypotheses!$C$66,0,Hypotheses!$B$7*INDEX(Hypotheses!$B$69:$E$69,MIN(2035-Hypotheses!$C$66+1,4)))</f>
        <v>4.6</v>
      </c>
      <c r="M11" s="12" t="n">
        <f aca="false">IF(2036&lt;Hypotheses!$C$66,0,Hypotheses!$B$7*INDEX(Hypotheses!$B$69:$E$69,MIN(2036-Hypotheses!$C$66+1,4)))</f>
        <v>4.75</v>
      </c>
      <c r="N11" s="12" t="n">
        <f aca="false">IF(2037&lt;Hypotheses!$C$66,0,Hypotheses!$B$7*INDEX(Hypotheses!$B$69:$E$69,MIN(2037-Hypotheses!$C$66+1,4)))</f>
        <v>4.75</v>
      </c>
    </row>
    <row r="12" customFormat="false" ht="15" hidden="false" customHeight="false" outlineLevel="0" collapsed="false">
      <c r="A12" s="3" t="s">
        <v>206</v>
      </c>
      <c r="B12" s="8" t="s">
        <v>52</v>
      </c>
      <c r="C12" s="29" t="n">
        <f aca="false">SUM(C8:C11)</f>
        <v>0</v>
      </c>
      <c r="D12" s="29" t="n">
        <f aca="false">SUM(D8:D11)</f>
        <v>0</v>
      </c>
      <c r="E12" s="29" t="n">
        <f aca="false">SUM(E8:E11)</f>
        <v>0</v>
      </c>
      <c r="F12" s="29" t="n">
        <f aca="false">SUM(F8:F11)</f>
        <v>0</v>
      </c>
      <c r="G12" s="29" t="n">
        <f aca="false">SUM(G8:G11)</f>
        <v>2</v>
      </c>
      <c r="H12" s="29" t="n">
        <f aca="false">SUM(H8:H11)</f>
        <v>5.75</v>
      </c>
      <c r="I12" s="29" t="n">
        <f aca="false">SUM(I8:I11)</f>
        <v>10.35</v>
      </c>
      <c r="J12" s="29" t="n">
        <f aca="false">SUM(J8:J11)</f>
        <v>15.1</v>
      </c>
      <c r="K12" s="29" t="n">
        <f aca="false">SUM(K8:K11)</f>
        <v>17.85</v>
      </c>
      <c r="L12" s="29" t="n">
        <f aca="false">SUM(L8:L11)</f>
        <v>18.85</v>
      </c>
      <c r="M12" s="29" t="n">
        <f aca="false">SUM(M8:M11)</f>
        <v>19</v>
      </c>
      <c r="N12" s="29" t="n">
        <f aca="false">SUM(N8:N11)</f>
        <v>19</v>
      </c>
    </row>
    <row r="13" customFormat="false" ht="15" hidden="false" customHeight="false" outlineLevel="0" collapsed="false">
      <c r="A13" s="9" t="s">
        <v>207</v>
      </c>
      <c r="B13" s="8"/>
      <c r="C13" s="15" t="n">
        <f aca="false">IF(C7=0,0,C12/C7)</f>
        <v>0</v>
      </c>
      <c r="D13" s="15" t="n">
        <f aca="false">IF(D7=0,0,D12/D7)</f>
        <v>0</v>
      </c>
      <c r="E13" s="15" t="n">
        <f aca="false">IF(E7=0,0,E12/E7)</f>
        <v>0</v>
      </c>
      <c r="F13" s="15" t="n">
        <f aca="false">IF(F7=0,0,F12/F7)</f>
        <v>0</v>
      </c>
      <c r="G13" s="15" t="n">
        <f aca="false">IF(G7=0,0,G12/G7)</f>
        <v>0.4</v>
      </c>
      <c r="H13" s="15" t="n">
        <f aca="false">IF(H7=0,0,H12/H7)</f>
        <v>0.575</v>
      </c>
      <c r="I13" s="15" t="n">
        <f aca="false">IF(I7=0,0,I12/I7)</f>
        <v>0.69</v>
      </c>
      <c r="J13" s="15" t="n">
        <f aca="false">IF(J7=0,0,J12/J7)</f>
        <v>0.755</v>
      </c>
      <c r="K13" s="15" t="n">
        <f aca="false">IF(K7=0,0,K12/K7)</f>
        <v>0.8925</v>
      </c>
      <c r="L13" s="15" t="n">
        <f aca="false">IF(L7=0,0,L12/L7)</f>
        <v>0.9425</v>
      </c>
      <c r="M13" s="15" t="n">
        <f aca="false">IF(M7=0,0,M12/M7)</f>
        <v>0.95</v>
      </c>
      <c r="N13" s="15" t="n">
        <f aca="false">IF(N7=0,0,N12/N7)</f>
        <v>0.95</v>
      </c>
    </row>
    <row r="14" customFormat="false" ht="15" hidden="false" customHeight="false" outlineLevel="0" collapsed="false">
      <c r="A14" s="9" t="s">
        <v>208</v>
      </c>
      <c r="B14" s="8" t="s">
        <v>209</v>
      </c>
      <c r="C14" s="13" t="n">
        <f aca="false">C12*1000*Hypotheses!$B$17*Hypotheses!$B$16*8760/1000000</f>
        <v>0</v>
      </c>
      <c r="D14" s="13" t="n">
        <f aca="false">D12*1000*Hypotheses!$B$17*Hypotheses!$B$16*8760/1000000</f>
        <v>0</v>
      </c>
      <c r="E14" s="13" t="n">
        <f aca="false">E12*1000*Hypotheses!$B$17*Hypotheses!$B$16*8760/1000000</f>
        <v>0</v>
      </c>
      <c r="F14" s="13" t="n">
        <f aca="false">F12*1000*Hypotheses!$B$17*Hypotheses!$B$16*8760/1000000</f>
        <v>0</v>
      </c>
      <c r="G14" s="13" t="n">
        <f aca="false">G12*1000*Hypotheses!$B$17*Hypotheses!$B$16*8760/1000000</f>
        <v>16.8192</v>
      </c>
      <c r="H14" s="13" t="n">
        <f aca="false">H12*1000*Hypotheses!$B$17*Hypotheses!$B$16*8760/1000000</f>
        <v>48.3552</v>
      </c>
      <c r="I14" s="13" t="n">
        <f aca="false">I12*1000*Hypotheses!$B$17*Hypotheses!$B$16*8760/1000000</f>
        <v>87.03936</v>
      </c>
      <c r="J14" s="13" t="n">
        <f aca="false">J12*1000*Hypotheses!$B$17*Hypotheses!$B$16*8760/1000000</f>
        <v>126.98496</v>
      </c>
      <c r="K14" s="13" t="n">
        <f aca="false">K12*1000*Hypotheses!$B$17*Hypotheses!$B$16*8760/1000000</f>
        <v>150.11136</v>
      </c>
      <c r="L14" s="13" t="n">
        <f aca="false">L12*1000*Hypotheses!$B$17*Hypotheses!$B$16*8760/1000000</f>
        <v>158.52096</v>
      </c>
      <c r="M14" s="13" t="n">
        <f aca="false">M12*1000*Hypotheses!$B$17*Hypotheses!$B$16*8760/1000000</f>
        <v>159.7824</v>
      </c>
      <c r="N14" s="13" t="n">
        <f aca="false">N12*1000*Hypotheses!$B$17*Hypotheses!$B$16*8760/1000000</f>
        <v>159.7824</v>
      </c>
    </row>
    <row r="16" customFormat="false" ht="15" hidden="false" customHeight="false" outlineLevel="0" collapsed="false">
      <c r="A16" s="5" t="s">
        <v>210</v>
      </c>
      <c r="B16" s="6"/>
      <c r="C16" s="6"/>
      <c r="D16" s="6"/>
      <c r="E16" s="6"/>
      <c r="F16" s="6"/>
      <c r="G16" s="6"/>
      <c r="H16" s="6"/>
      <c r="I16" s="6"/>
      <c r="J16" s="6"/>
      <c r="K16" s="6"/>
      <c r="L16" s="6"/>
      <c r="M16" s="6"/>
      <c r="N16" s="6"/>
    </row>
    <row r="17" customFormat="false" ht="15" hidden="false" customHeight="false" outlineLevel="0" collapsed="false">
      <c r="A17" s="9" t="s">
        <v>86</v>
      </c>
      <c r="B17" s="8" t="s">
        <v>106</v>
      </c>
      <c r="C17" s="12" t="n">
        <f aca="false">C12*1000*Hypotheses!$B$25*12*(1+Hypotheses!$B$26)^0/1000000</f>
        <v>0</v>
      </c>
      <c r="D17" s="12" t="n">
        <f aca="false">D12*1000*Hypotheses!$B$25*12*(1+Hypotheses!$B$26)^1/1000000</f>
        <v>0</v>
      </c>
      <c r="E17" s="12" t="n">
        <f aca="false">E12*1000*Hypotheses!$B$25*12*(1+Hypotheses!$B$26)^2/1000000</f>
        <v>0</v>
      </c>
      <c r="F17" s="12" t="n">
        <f aca="false">F12*1000*Hypotheses!$B$25*12*(1+Hypotheses!$B$26)^3/1000000</f>
        <v>0</v>
      </c>
      <c r="G17" s="12" t="n">
        <f aca="false">G12*1000*Hypotheses!$B$25*12*(1+Hypotheses!$B$26)^4/1000000</f>
        <v>3.896755776</v>
      </c>
      <c r="H17" s="12" t="n">
        <f aca="false">H12*1000*Hypotheses!$B$25*12*(1+Hypotheses!$B$26)^5/1000000</f>
        <v>11.42723631312</v>
      </c>
      <c r="I17" s="12" t="n">
        <f aca="false">I12*1000*Hypotheses!$B$25*12*(1+Hypotheses!$B$26)^6/1000000</f>
        <v>20.9804058708883</v>
      </c>
      <c r="J17" s="12" t="n">
        <f aca="false">J12*1000*Hypotheses!$B$25*12*(1+Hypotheses!$B$26)^7/1000000</f>
        <v>31.2212764467074</v>
      </c>
      <c r="K17" s="12" t="n">
        <f aca="false">K12*1000*Hypotheses!$B$25*12*(1+Hypotheses!$B$26)^8/1000000</f>
        <v>37.6454159116028</v>
      </c>
      <c r="L17" s="12" t="n">
        <f aca="false">L12*1000*Hypotheses!$B$25*12*(1+Hypotheses!$B$26)^9/1000000</f>
        <v>40.549490853355</v>
      </c>
      <c r="M17" s="12" t="n">
        <f aca="false">M12*1000*Hypotheses!$B$25*12*(1+Hypotheses!$B$26)^10/1000000</f>
        <v>41.6896091638207</v>
      </c>
      <c r="N17" s="12" t="n">
        <f aca="false">N12*1000*Hypotheses!$B$25*12*(1+Hypotheses!$B$26)^11/1000000</f>
        <v>42.5234013470971</v>
      </c>
    </row>
    <row r="18" customFormat="false" ht="15" hidden="false" customHeight="false" outlineLevel="0" collapsed="false">
      <c r="A18" s="9" t="s">
        <v>211</v>
      </c>
      <c r="B18" s="8" t="s">
        <v>106</v>
      </c>
      <c r="C18" s="12" t="n">
        <f aca="false">C17*Hypotheses!$B$27</f>
        <v>0</v>
      </c>
      <c r="D18" s="12" t="n">
        <f aca="false">D17*Hypotheses!$B$27</f>
        <v>0</v>
      </c>
      <c r="E18" s="12" t="n">
        <f aca="false">E17*Hypotheses!$B$27</f>
        <v>0</v>
      </c>
      <c r="F18" s="12" t="n">
        <f aca="false">F17*Hypotheses!$B$27</f>
        <v>0</v>
      </c>
      <c r="G18" s="12" t="n">
        <f aca="false">G17*Hypotheses!$B$27</f>
        <v>0.23380534656</v>
      </c>
      <c r="H18" s="12" t="n">
        <f aca="false">H17*Hypotheses!$B$27</f>
        <v>0.6856341787872</v>
      </c>
      <c r="I18" s="12" t="n">
        <f aca="false">I17*Hypotheses!$B$27</f>
        <v>1.2588243522533</v>
      </c>
      <c r="J18" s="12" t="n">
        <f aca="false">J17*Hypotheses!$B$27</f>
        <v>1.87327658680245</v>
      </c>
      <c r="K18" s="12" t="n">
        <f aca="false">K17*Hypotheses!$B$27</f>
        <v>2.25872495469617</v>
      </c>
      <c r="L18" s="12" t="n">
        <f aca="false">L17*Hypotheses!$B$27</f>
        <v>2.4329694512013</v>
      </c>
      <c r="M18" s="12" t="n">
        <f aca="false">M17*Hypotheses!$B$27</f>
        <v>2.50137654982924</v>
      </c>
      <c r="N18" s="12" t="n">
        <f aca="false">N17*Hypotheses!$B$27</f>
        <v>2.55140408082583</v>
      </c>
    </row>
    <row r="19" customFormat="false" ht="15" hidden="false" customHeight="false" outlineLevel="0" collapsed="false">
      <c r="A19" s="9" t="s">
        <v>212</v>
      </c>
      <c r="B19" s="8" t="s">
        <v>106</v>
      </c>
      <c r="C19" s="12" t="n">
        <f aca="false">C14*1000*Hypotheses!$B$28*(1+Hypotheses!$B$29)^0*(1+Hypotheses!$B$30)/1000000</f>
        <v>0</v>
      </c>
      <c r="D19" s="12" t="n">
        <f aca="false">D14*1000*Hypotheses!$B$28*(1+Hypotheses!$B$29)^1*(1+Hypotheses!$B$30)/1000000</f>
        <v>0</v>
      </c>
      <c r="E19" s="12" t="n">
        <f aca="false">E14*1000*Hypotheses!$B$28*(1+Hypotheses!$B$29)^2*(1+Hypotheses!$B$30)/1000000</f>
        <v>0</v>
      </c>
      <c r="F19" s="12" t="n">
        <f aca="false">F14*1000*Hypotheses!$B$28*(1+Hypotheses!$B$29)^3*(1+Hypotheses!$B$30)/1000000</f>
        <v>0</v>
      </c>
      <c r="G19" s="12" t="n">
        <f aca="false">G14*1000*Hypotheses!$B$28*(1+Hypotheses!$B$29)^4*(1+Hypotheses!$B$30)/1000000</f>
        <v>1.904794626402</v>
      </c>
      <c r="H19" s="12" t="n">
        <f aca="false">H14*1000*Hypotheses!$B$28*(1+Hypotheses!$B$29)^5*(1+Hypotheses!$B$30)/1000000</f>
        <v>5.61319166467839</v>
      </c>
      <c r="I19" s="12" t="n">
        <f aca="false">I14*1000*Hypotheses!$B$28*(1+Hypotheses!$B$29)^6*(1+Hypotheses!$B$30)/1000000</f>
        <v>10.3563386213316</v>
      </c>
      <c r="J19" s="12" t="n">
        <f aca="false">J14*1000*Hypotheses!$B$28*(1+Hypotheses!$B$29)^7*(1+Hypotheses!$B$30)/1000000</f>
        <v>15.4869788417063</v>
      </c>
      <c r="K19" s="12" t="n">
        <f aca="false">K14*1000*Hypotheses!$B$28*(1+Hypotheses!$B$29)^8*(1+Hypotheses!$B$30)/1000000</f>
        <v>18.7651414988456</v>
      </c>
      <c r="L19" s="12" t="n">
        <f aca="false">L14*1000*Hypotheses!$B$28*(1+Hypotheses!$B$29)^9*(1+Hypotheses!$B$30)/1000000</f>
        <v>20.3118201784074</v>
      </c>
      <c r="M19" s="12" t="n">
        <f aca="false">M14*1000*Hypotheses!$B$28*(1+Hypotheses!$B$29)^10*(1+Hypotheses!$B$30)/1000000</f>
        <v>20.985289017214</v>
      </c>
      <c r="N19" s="12" t="n">
        <f aca="false">N14*1000*Hypotheses!$B$28*(1+Hypotheses!$B$29)^11*(1+Hypotheses!$B$30)/1000000</f>
        <v>21.5099212426443</v>
      </c>
    </row>
    <row r="20" customFormat="false" ht="15" hidden="false" customHeight="false" outlineLevel="0" collapsed="false">
      <c r="A20" s="25" t="s">
        <v>213</v>
      </c>
      <c r="B20" s="30" t="s">
        <v>106</v>
      </c>
      <c r="C20" s="26" t="n">
        <f aca="false">SUM(C17:C19)</f>
        <v>0</v>
      </c>
      <c r="D20" s="26" t="n">
        <f aca="false">SUM(D17:D19)</f>
        <v>0</v>
      </c>
      <c r="E20" s="26" t="n">
        <f aca="false">SUM(E17:E19)</f>
        <v>0</v>
      </c>
      <c r="F20" s="26" t="n">
        <f aca="false">SUM(F17:F19)</f>
        <v>0</v>
      </c>
      <c r="G20" s="26" t="n">
        <f aca="false">SUM(G17:G19)</f>
        <v>6.035355748962</v>
      </c>
      <c r="H20" s="26" t="n">
        <f aca="false">SUM(H17:H19)</f>
        <v>17.7260621565856</v>
      </c>
      <c r="I20" s="26" t="n">
        <f aca="false">SUM(I17:I19)</f>
        <v>32.5955688444733</v>
      </c>
      <c r="J20" s="26" t="n">
        <f aca="false">SUM(J17:J19)</f>
        <v>48.5815318752162</v>
      </c>
      <c r="K20" s="26" t="n">
        <f aca="false">SUM(K17:K19)</f>
        <v>58.6692823651446</v>
      </c>
      <c r="L20" s="26" t="n">
        <f aca="false">SUM(L17:L19)</f>
        <v>63.2942804829637</v>
      </c>
      <c r="M20" s="26" t="n">
        <f aca="false">SUM(M17:M19)</f>
        <v>65.1762747308639</v>
      </c>
      <c r="N20" s="26" t="n">
        <f aca="false">SUM(N17:N19)</f>
        <v>66.5847266705673</v>
      </c>
    </row>
    <row r="22" customFormat="false" ht="15" hidden="false" customHeight="false" outlineLevel="0" collapsed="false">
      <c r="A22" s="5" t="s">
        <v>214</v>
      </c>
      <c r="B22" s="6"/>
      <c r="C22" s="6"/>
      <c r="D22" s="6"/>
      <c r="E22" s="6"/>
      <c r="F22" s="6"/>
      <c r="G22" s="6"/>
      <c r="H22" s="6"/>
      <c r="I22" s="6"/>
      <c r="J22" s="6"/>
      <c r="K22" s="6"/>
      <c r="L22" s="6"/>
      <c r="M22" s="6"/>
      <c r="N22" s="6"/>
    </row>
    <row r="23" customFormat="false" ht="15" hidden="false" customHeight="false" outlineLevel="0" collapsed="false">
      <c r="A23" s="9" t="s">
        <v>215</v>
      </c>
      <c r="B23" s="8" t="s">
        <v>106</v>
      </c>
      <c r="C23" s="12" t="n">
        <f aca="false">-C14*1000*Hypotheses!$B$28*(1+Hypotheses!$B$29)^0/1000000</f>
        <v>-0</v>
      </c>
      <c r="D23" s="12" t="n">
        <f aca="false">-D14*1000*Hypotheses!$B$28*(1+Hypotheses!$B$29)^1/1000000</f>
        <v>-0</v>
      </c>
      <c r="E23" s="12" t="n">
        <f aca="false">-E14*1000*Hypotheses!$B$28*(1+Hypotheses!$B$29)^2/1000000</f>
        <v>-0</v>
      </c>
      <c r="F23" s="12" t="n">
        <f aca="false">-F14*1000*Hypotheses!$B$28*(1+Hypotheses!$B$29)^3/1000000</f>
        <v>-0</v>
      </c>
      <c r="G23" s="12" t="n">
        <f aca="false">-G14*1000*Hypotheses!$B$28*(1+Hypotheses!$B$29)^4/1000000</f>
        <v>-1.76369872815</v>
      </c>
      <c r="H23" s="12" t="n">
        <f aca="false">-H14*1000*Hypotheses!$B$28*(1+Hypotheses!$B$29)^5/1000000</f>
        <v>-5.19739968951703</v>
      </c>
      <c r="I23" s="12" t="n">
        <f aca="false">-I14*1000*Hypotheses!$B$28*(1+Hypotheses!$B$29)^6/1000000</f>
        <v>-9.58920242715892</v>
      </c>
      <c r="J23" s="12" t="n">
        <f aca="false">-J14*1000*Hypotheses!$B$28*(1+Hypotheses!$B$29)^7/1000000</f>
        <v>-14.3397952238021</v>
      </c>
      <c r="K23" s="12" t="n">
        <f aca="false">-K14*1000*Hypotheses!$B$28*(1+Hypotheses!$B$29)^8/1000000</f>
        <v>-17.3751310174497</v>
      </c>
      <c r="L23" s="12" t="n">
        <f aca="false">-L14*1000*Hypotheses!$B$28*(1+Hypotheses!$B$29)^9/1000000</f>
        <v>-18.8072409059327</v>
      </c>
      <c r="M23" s="12" t="n">
        <f aca="false">-M14*1000*Hypotheses!$B$28*(1+Hypotheses!$B$29)^10/1000000</f>
        <v>-19.430823164087</v>
      </c>
      <c r="N23" s="12" t="n">
        <f aca="false">-N14*1000*Hypotheses!$B$28*(1+Hypotheses!$B$29)^11/1000000</f>
        <v>-19.9165937431892</v>
      </c>
    </row>
    <row r="24" customFormat="false" ht="15" hidden="false" customHeight="false" outlineLevel="0" collapsed="false">
      <c r="A24" s="9" t="s">
        <v>216</v>
      </c>
      <c r="B24" s="8" t="s">
        <v>106</v>
      </c>
      <c r="C24" s="12" t="n">
        <f aca="false">-C7*Hypotheses!$B$43*(1+Hypotheses!$B$46)^0/1000000</f>
        <v>-0</v>
      </c>
      <c r="D24" s="12" t="n">
        <f aca="false">-D7*Hypotheses!$B$43*(1+Hypotheses!$B$46)^1/1000000</f>
        <v>-0</v>
      </c>
      <c r="E24" s="12" t="n">
        <f aca="false">-E7*Hypotheses!$B$43*(1+Hypotheses!$B$46)^2/1000000</f>
        <v>-0</v>
      </c>
      <c r="F24" s="12" t="n">
        <f aca="false">-F7*Hypotheses!$B$43*(1+Hypotheses!$B$46)^3/1000000</f>
        <v>-0</v>
      </c>
      <c r="G24" s="12" t="n">
        <f aca="false">-G7*Hypotheses!$B$43*(1+Hypotheses!$B$46)^4/1000000</f>
        <v>-2.16486432</v>
      </c>
      <c r="H24" s="12" t="n">
        <f aca="false">-H7*Hypotheses!$B$43*(1+Hypotheses!$B$46)^5/1000000</f>
        <v>-4.4163232128</v>
      </c>
      <c r="I24" s="12" t="n">
        <f aca="false">-I7*Hypotheses!$B$43*(1+Hypotheses!$B$46)^6/1000000</f>
        <v>-6.756974515584</v>
      </c>
      <c r="J24" s="12" t="n">
        <f aca="false">-J7*Hypotheses!$B$43*(1+Hypotheses!$B$46)^7/1000000</f>
        <v>-9.18948534119424</v>
      </c>
      <c r="K24" s="12" t="n">
        <f aca="false">-K7*Hypotheses!$B$43*(1+Hypotheses!$B$46)^8/1000000</f>
        <v>-9.37327504801813</v>
      </c>
      <c r="L24" s="12" t="n">
        <f aca="false">-L7*Hypotheses!$B$43*(1+Hypotheses!$B$46)^9/1000000</f>
        <v>-9.56074054897849</v>
      </c>
      <c r="M24" s="12" t="n">
        <f aca="false">-M7*Hypotheses!$B$43*(1+Hypotheses!$B$46)^10/1000000</f>
        <v>-9.75195535995806</v>
      </c>
      <c r="N24" s="12" t="n">
        <f aca="false">-N7*Hypotheses!$B$43*(1+Hypotheses!$B$46)^11/1000000</f>
        <v>-9.94699446715722</v>
      </c>
    </row>
    <row r="25" customFormat="false" ht="15" hidden="false" customHeight="false" outlineLevel="0" collapsed="false">
      <c r="A25" s="9" t="s">
        <v>124</v>
      </c>
      <c r="B25" s="8" t="s">
        <v>106</v>
      </c>
      <c r="C25" s="12" t="n">
        <f aca="false">-Capex!C23*Hypotheses!$B$44</f>
        <v>-0.027968</v>
      </c>
      <c r="D25" s="12" t="n">
        <f aca="false">-Capex!D23*Hypotheses!$B$44</f>
        <v>-0.08576</v>
      </c>
      <c r="E25" s="12" t="n">
        <f aca="false">-Capex!E23*Hypotheses!$B$44</f>
        <v>-0.12896</v>
      </c>
      <c r="F25" s="12" t="n">
        <f aca="false">-Capex!F23*Hypotheses!$B$44</f>
        <v>-0.38564</v>
      </c>
      <c r="G25" s="12" t="n">
        <f aca="false">-Capex!G23*Hypotheses!$B$44</f>
        <v>-0.77664</v>
      </c>
      <c r="H25" s="12" t="n">
        <f aca="false">-Capex!H23*Hypotheses!$B$44</f>
        <v>-1.14044</v>
      </c>
      <c r="I25" s="12" t="n">
        <f aca="false">-Capex!I23*Hypotheses!$B$44</f>
        <v>-1.50424</v>
      </c>
      <c r="J25" s="12" t="n">
        <f aca="false">-Capex!J23*Hypotheses!$B$44</f>
        <v>-1.64976</v>
      </c>
      <c r="K25" s="12" t="n">
        <f aca="false">-Capex!K23*Hypotheses!$B$44</f>
        <v>-1.64976</v>
      </c>
      <c r="L25" s="12" t="n">
        <f aca="false">-Capex!L23*Hypotheses!$B$44</f>
        <v>-1.64976</v>
      </c>
      <c r="M25" s="12" t="n">
        <f aca="false">-Capex!M23*Hypotheses!$B$44</f>
        <v>-1.64976</v>
      </c>
      <c r="N25" s="12" t="n">
        <f aca="false">-Capex!N23*Hypotheses!$B$44</f>
        <v>-1.64976</v>
      </c>
    </row>
    <row r="26" customFormat="false" ht="15" hidden="false" customHeight="false" outlineLevel="0" collapsed="false">
      <c r="A26" s="9" t="s">
        <v>127</v>
      </c>
      <c r="B26" s="8" t="s">
        <v>106</v>
      </c>
      <c r="C26" s="12" t="n">
        <f aca="false">-Hypotheses!$B$45*(1+Hypotheses!$B$46)^0</f>
        <v>-1.4</v>
      </c>
      <c r="D26" s="12" t="n">
        <f aca="false">-Hypotheses!$B$45*(1+Hypotheses!$B$46)^1</f>
        <v>-1.428</v>
      </c>
      <c r="E26" s="12" t="n">
        <f aca="false">-Hypotheses!$B$45*(1+Hypotheses!$B$46)^2</f>
        <v>-1.45656</v>
      </c>
      <c r="F26" s="12" t="n">
        <f aca="false">-Hypotheses!$B$45*(1+Hypotheses!$B$46)^3</f>
        <v>-1.4856912</v>
      </c>
      <c r="G26" s="12" t="n">
        <f aca="false">-Hypotheses!$B$45*(1+Hypotheses!$B$46)^4</f>
        <v>-1.515405024</v>
      </c>
      <c r="H26" s="12" t="n">
        <f aca="false">-Hypotheses!$B$45*(1+Hypotheses!$B$46)^5</f>
        <v>-1.54571312448</v>
      </c>
      <c r="I26" s="12" t="n">
        <f aca="false">-Hypotheses!$B$45*(1+Hypotheses!$B$46)^6</f>
        <v>-1.5766273869696</v>
      </c>
      <c r="J26" s="12" t="n">
        <f aca="false">-Hypotheses!$B$45*(1+Hypotheses!$B$46)^7</f>
        <v>-1.60815993470899</v>
      </c>
      <c r="K26" s="12" t="n">
        <f aca="false">-Hypotheses!$B$45*(1+Hypotheses!$B$46)^8</f>
        <v>-1.64032313340317</v>
      </c>
      <c r="L26" s="12" t="n">
        <f aca="false">-Hypotheses!$B$45*(1+Hypotheses!$B$46)^9</f>
        <v>-1.67312959607124</v>
      </c>
      <c r="M26" s="12" t="n">
        <f aca="false">-Hypotheses!$B$45*(1+Hypotheses!$B$46)^10</f>
        <v>-1.70659218799266</v>
      </c>
      <c r="N26" s="12" t="n">
        <f aca="false">-Hypotheses!$B$45*(1+Hypotheses!$B$46)^11</f>
        <v>-1.74072403175251</v>
      </c>
    </row>
    <row r="27" customFormat="false" ht="15" hidden="false" customHeight="false" outlineLevel="0" collapsed="false">
      <c r="A27" s="3" t="s">
        <v>217</v>
      </c>
      <c r="B27" s="8" t="s">
        <v>106</v>
      </c>
      <c r="C27" s="29" t="n">
        <f aca="false">SUM(C23:C26)</f>
        <v>-1.427968</v>
      </c>
      <c r="D27" s="29" t="n">
        <f aca="false">SUM(D23:D26)</f>
        <v>-1.51376</v>
      </c>
      <c r="E27" s="29" t="n">
        <f aca="false">SUM(E23:E26)</f>
        <v>-1.58552</v>
      </c>
      <c r="F27" s="29" t="n">
        <f aca="false">SUM(F23:F26)</f>
        <v>-1.8713312</v>
      </c>
      <c r="G27" s="29" t="n">
        <f aca="false">SUM(G23:G26)</f>
        <v>-6.22060807215</v>
      </c>
      <c r="H27" s="29" t="n">
        <f aca="false">SUM(H23:H26)</f>
        <v>-12.299876026797</v>
      </c>
      <c r="I27" s="29" t="n">
        <f aca="false">SUM(I23:I26)</f>
        <v>-19.4270443297125</v>
      </c>
      <c r="J27" s="29" t="n">
        <f aca="false">SUM(J23:J26)</f>
        <v>-26.7872004997054</v>
      </c>
      <c r="K27" s="29" t="n">
        <f aca="false">SUM(K23:K26)</f>
        <v>-30.038489198871</v>
      </c>
      <c r="L27" s="29" t="n">
        <f aca="false">SUM(L23:L26)</f>
        <v>-31.6908710509825</v>
      </c>
      <c r="M27" s="29" t="n">
        <f aca="false">SUM(M23:M26)</f>
        <v>-32.5391307120377</v>
      </c>
      <c r="N27" s="29" t="n">
        <f aca="false">SUM(N23:N26)</f>
        <v>-33.2540722420989</v>
      </c>
    </row>
    <row r="29" customFormat="false" ht="15" hidden="false" customHeight="false" outlineLevel="0" collapsed="false">
      <c r="A29" s="5" t="s">
        <v>218</v>
      </c>
      <c r="B29" s="6"/>
      <c r="C29" s="6"/>
      <c r="D29" s="6"/>
      <c r="E29" s="6"/>
      <c r="F29" s="6"/>
      <c r="G29" s="6"/>
      <c r="H29" s="6"/>
      <c r="I29" s="6"/>
      <c r="J29" s="6"/>
      <c r="K29" s="6"/>
      <c r="L29" s="6"/>
      <c r="M29" s="6"/>
      <c r="N29" s="6"/>
    </row>
    <row r="30" customFormat="false" ht="15" hidden="false" customHeight="false" outlineLevel="0" collapsed="false">
      <c r="A30" s="25" t="s">
        <v>219</v>
      </c>
      <c r="B30" s="30" t="s">
        <v>106</v>
      </c>
      <c r="C30" s="26" t="n">
        <f aca="false">C20+C27</f>
        <v>-1.427968</v>
      </c>
      <c r="D30" s="26" t="n">
        <f aca="false">D20+D27</f>
        <v>-1.51376</v>
      </c>
      <c r="E30" s="26" t="n">
        <f aca="false">E20+E27</f>
        <v>-1.58552</v>
      </c>
      <c r="F30" s="26" t="n">
        <f aca="false">F20+F27</f>
        <v>-1.8713312</v>
      </c>
      <c r="G30" s="26" t="n">
        <f aca="false">G20+G27</f>
        <v>-0.185252323187999</v>
      </c>
      <c r="H30" s="26" t="n">
        <f aca="false">H20+H27</f>
        <v>5.42618612978856</v>
      </c>
      <c r="I30" s="26" t="n">
        <f aca="false">I20+I27</f>
        <v>13.1685245147607</v>
      </c>
      <c r="J30" s="26" t="n">
        <f aca="false">J20+J27</f>
        <v>21.7943313755108</v>
      </c>
      <c r="K30" s="26" t="n">
        <f aca="false">K20+K27</f>
        <v>28.6307931662736</v>
      </c>
      <c r="L30" s="26" t="n">
        <f aca="false">L20+L27</f>
        <v>31.6034094319812</v>
      </c>
      <c r="M30" s="26" t="n">
        <f aca="false">M20+M27</f>
        <v>32.6371440188262</v>
      </c>
      <c r="N30" s="26" t="n">
        <f aca="false">N20+N27</f>
        <v>33.3306544284684</v>
      </c>
    </row>
    <row r="31" customFormat="false" ht="15" hidden="false" customHeight="false" outlineLevel="0" collapsed="false">
      <c r="A31" s="9" t="s">
        <v>220</v>
      </c>
      <c r="B31" s="8"/>
      <c r="C31" s="15" t="n">
        <f aca="false">IF(C20=0,0,C30/C20)</f>
        <v>0</v>
      </c>
      <c r="D31" s="15" t="n">
        <f aca="false">IF(D20=0,0,D30/D20)</f>
        <v>0</v>
      </c>
      <c r="E31" s="15" t="n">
        <f aca="false">IF(E20=0,0,E30/E20)</f>
        <v>0</v>
      </c>
      <c r="F31" s="15" t="n">
        <f aca="false">IF(F20=0,0,F30/F20)</f>
        <v>0</v>
      </c>
      <c r="G31" s="15" t="n">
        <f aca="false">IF(G20=0,0,G30/G20)</f>
        <v>-0.0306945159313699</v>
      </c>
      <c r="H31" s="15" t="n">
        <f aca="false">IF(H20=0,0,H30/H20)</f>
        <v>0.306113454971308</v>
      </c>
      <c r="I31" s="15" t="n">
        <f aca="false">IF(I20=0,0,I30/I20)</f>
        <v>0.403997383128766</v>
      </c>
      <c r="J31" s="15" t="n">
        <f aca="false">IF(J20=0,0,J30/J20)</f>
        <v>0.448613506702311</v>
      </c>
      <c r="K31" s="15" t="n">
        <f aca="false">IF(K20=0,0,K30/K20)</f>
        <v>0.488003125521153</v>
      </c>
      <c r="L31" s="15" t="n">
        <f aca="false">IF(L20=0,0,L30/L20)</f>
        <v>0.499309087501004</v>
      </c>
      <c r="M31" s="15" t="n">
        <f aca="false">IF(M20=0,0,M30/M20)</f>
        <v>0.500751909396427</v>
      </c>
      <c r="N31" s="15" t="n">
        <f aca="false">IF(N20=0,0,N30/N20)</f>
        <v>0.500575073220232</v>
      </c>
    </row>
    <row r="32" customFormat="false" ht="15" hidden="false" customHeight="false" outlineLevel="0" collapsed="false">
      <c r="A32" s="9" t="s">
        <v>221</v>
      </c>
      <c r="B32" s="8" t="s">
        <v>114</v>
      </c>
      <c r="C32" s="12" t="n">
        <f aca="false">IF(C12=0,0,C30/C12)</f>
        <v>0</v>
      </c>
      <c r="D32" s="12" t="n">
        <f aca="false">IF(D12=0,0,D30/D12)</f>
        <v>0</v>
      </c>
      <c r="E32" s="12" t="n">
        <f aca="false">IF(E12=0,0,E30/E12)</f>
        <v>0</v>
      </c>
      <c r="F32" s="12" t="n">
        <f aca="false">IF(F12=0,0,F30/F12)</f>
        <v>0</v>
      </c>
      <c r="G32" s="12" t="n">
        <f aca="false">IF(G12=0,0,G30/G12)</f>
        <v>-0.0926261615939996</v>
      </c>
      <c r="H32" s="12" t="n">
        <f aca="false">IF(H12=0,0,H30/H12)</f>
        <v>0.943684544311054</v>
      </c>
      <c r="I32" s="12" t="n">
        <f aca="false">IF(I12=0,0,I30/I12)</f>
        <v>1.27232120915563</v>
      </c>
      <c r="J32" s="12" t="n">
        <f aca="false">IF(J12=0,0,J30/J12)</f>
        <v>1.44333320367621</v>
      </c>
      <c r="K32" s="12" t="n">
        <f aca="false">IF(K12=0,0,K30/K12)</f>
        <v>1.60396600371281</v>
      </c>
      <c r="L32" s="12" t="n">
        <f aca="false">IF(L12=0,0,L30/L12)</f>
        <v>1.67657344466744</v>
      </c>
      <c r="M32" s="12" t="n">
        <f aca="false">IF(M12=0,0,M30/M12)</f>
        <v>1.71774442204348</v>
      </c>
      <c r="N32" s="12" t="n">
        <f aca="false">IF(N12=0,0,N30/N12)</f>
        <v>1.75424496991939</v>
      </c>
    </row>
    <row r="34" customFormat="false" ht="15" hidden="false" customHeight="false" outlineLevel="0" collapsed="false">
      <c r="A34" s="9" t="s">
        <v>222</v>
      </c>
      <c r="B34" s="8" t="s">
        <v>106</v>
      </c>
      <c r="C34" s="12" t="n">
        <f aca="false">-IF(2026&lt;MIN(Hypotheses!$C$63:$C$66),0,Capex!C23*Hypotheses!$B$39/Hypotheses!$B$53+Capex!C23*(1-Hypotheses!$B$39)/Hypotheses!$B$54)</f>
        <v>-0</v>
      </c>
      <c r="D34" s="12" t="n">
        <f aca="false">-IF(2027&lt;MIN(Hypotheses!$C$63:$C$66),0,Capex!D23*Hypotheses!$B$39/Hypotheses!$B$53+Capex!D23*(1-Hypotheses!$B$39)/Hypotheses!$B$54)</f>
        <v>-0</v>
      </c>
      <c r="E34" s="12" t="n">
        <f aca="false">-IF(2028&lt;MIN(Hypotheses!$C$63:$C$66),0,Capex!E23*Hypotheses!$B$39/Hypotheses!$B$53+Capex!E23*(1-Hypotheses!$B$39)/Hypotheses!$B$54)</f>
        <v>-0</v>
      </c>
      <c r="F34" s="12" t="n">
        <f aca="false">-IF(2029&lt;MIN(Hypotheses!$C$63:$C$66),0,Capex!F23*Hypotheses!$B$39/Hypotheses!$B$53+Capex!F23*(1-Hypotheses!$B$39)/Hypotheses!$B$54)</f>
        <v>-0</v>
      </c>
      <c r="G34" s="12" t="n">
        <f aca="false">-IF(2030&lt;MIN(Hypotheses!$C$63:$C$66),0,Capex!G23*Hypotheses!$B$39/Hypotheses!$B$53+Capex!G23*(1-Hypotheses!$B$39)/Hypotheses!$B$54)</f>
        <v>-5.3394</v>
      </c>
      <c r="H34" s="12" t="n">
        <f aca="false">-IF(2031&lt;MIN(Hypotheses!$C$63:$C$66),0,Capex!H23*Hypotheses!$B$39/Hypotheses!$B$53+Capex!H23*(1-Hypotheses!$B$39)/Hypotheses!$B$54)</f>
        <v>-7.840525</v>
      </c>
      <c r="I34" s="12" t="n">
        <f aca="false">-IF(2032&lt;MIN(Hypotheses!$C$63:$C$66),0,Capex!I23*Hypotheses!$B$39/Hypotheses!$B$53+Capex!I23*(1-Hypotheses!$B$39)/Hypotheses!$B$54)</f>
        <v>-10.34165</v>
      </c>
      <c r="J34" s="12" t="n">
        <f aca="false">-IF(2033&lt;MIN(Hypotheses!$C$63:$C$66),0,Capex!J23*Hypotheses!$B$39/Hypotheses!$B$53+Capex!J23*(1-Hypotheses!$B$39)/Hypotheses!$B$54)</f>
        <v>-11.3421</v>
      </c>
      <c r="K34" s="12" t="n">
        <f aca="false">-IF(2034&lt;MIN(Hypotheses!$C$63:$C$66),0,Capex!K23*Hypotheses!$B$39/Hypotheses!$B$53+Capex!K23*(1-Hypotheses!$B$39)/Hypotheses!$B$54)</f>
        <v>-11.3421</v>
      </c>
      <c r="L34" s="12" t="n">
        <f aca="false">-IF(2035&lt;MIN(Hypotheses!$C$63:$C$66),0,Capex!L23*Hypotheses!$B$39/Hypotheses!$B$53+Capex!L23*(1-Hypotheses!$B$39)/Hypotheses!$B$54)</f>
        <v>-11.3421</v>
      </c>
      <c r="M34" s="12" t="n">
        <f aca="false">-IF(2036&lt;MIN(Hypotheses!$C$63:$C$66),0,Capex!M23*Hypotheses!$B$39/Hypotheses!$B$53+Capex!M23*(1-Hypotheses!$B$39)/Hypotheses!$B$54)</f>
        <v>-11.3421</v>
      </c>
      <c r="N34" s="12" t="n">
        <f aca="false">-IF(2037&lt;MIN(Hypotheses!$C$63:$C$66),0,Capex!N23*Hypotheses!$B$39/Hypotheses!$B$53+Capex!N23*(1-Hypotheses!$B$39)/Hypotheses!$B$54)</f>
        <v>-11.3421</v>
      </c>
    </row>
    <row r="35" customFormat="false" ht="15" hidden="false" customHeight="false" outlineLevel="0" collapsed="false">
      <c r="A35" s="3" t="s">
        <v>223</v>
      </c>
      <c r="B35" s="8" t="s">
        <v>106</v>
      </c>
      <c r="C35" s="29" t="n">
        <f aca="false">C30+C34</f>
        <v>-1.427968</v>
      </c>
      <c r="D35" s="29" t="n">
        <f aca="false">D30+D34</f>
        <v>-1.51376</v>
      </c>
      <c r="E35" s="29" t="n">
        <f aca="false">E30+E34</f>
        <v>-1.58552</v>
      </c>
      <c r="F35" s="29" t="n">
        <f aca="false">F30+F34</f>
        <v>-1.8713312</v>
      </c>
      <c r="G35" s="29" t="n">
        <f aca="false">G30+G34</f>
        <v>-5.524652323188</v>
      </c>
      <c r="H35" s="29" t="n">
        <f aca="false">H30+H34</f>
        <v>-2.41433887021144</v>
      </c>
      <c r="I35" s="29" t="n">
        <f aca="false">I30+I34</f>
        <v>2.82687451476074</v>
      </c>
      <c r="J35" s="29" t="n">
        <f aca="false">J30+J34</f>
        <v>10.4522313755108</v>
      </c>
      <c r="K35" s="29" t="n">
        <f aca="false">K30+K34</f>
        <v>17.2886931662736</v>
      </c>
      <c r="L35" s="29" t="n">
        <f aca="false">L30+L34</f>
        <v>20.2613094319812</v>
      </c>
      <c r="M35" s="29" t="n">
        <f aca="false">M30+M34</f>
        <v>21.2950440188262</v>
      </c>
      <c r="N35" s="29" t="n">
        <f aca="false">N30+N34</f>
        <v>21.9885544284683</v>
      </c>
    </row>
    <row r="36" customFormat="false" ht="15" hidden="false" customHeight="false" outlineLevel="0" collapsed="false">
      <c r="A36" s="9" t="s">
        <v>224</v>
      </c>
      <c r="B36" s="8" t="s">
        <v>106</v>
      </c>
      <c r="C36" s="12" t="n">
        <f aca="false">-(Tresorerie!C11+Tresorerie!C13)/2*Hypotheses!$B$50</f>
        <v>-0.062491</v>
      </c>
      <c r="D36" s="12" t="n">
        <f aca="false">-(Tresorerie!D11+Tresorerie!D13)/2*Hypotheses!$B$50</f>
        <v>-0.254111</v>
      </c>
      <c r="E36" s="12" t="n">
        <f aca="false">-(Tresorerie!E11+Tresorerie!E13)/2*Hypotheses!$B$50</f>
        <v>-0.479765</v>
      </c>
      <c r="F36" s="12" t="n">
        <f aca="false">-(Tresorerie!F11+Tresorerie!F13)/2*Hypotheses!$B$50</f>
        <v>-1.149809375</v>
      </c>
      <c r="G36" s="12" t="n">
        <f aca="false">-(Tresorerie!G11+Tresorerie!G13)/2*Hypotheses!$B$50</f>
        <v>-2.596969375</v>
      </c>
      <c r="H36" s="12" t="n">
        <f aca="false">-(Tresorerie!H11+Tresorerie!H13)/2*Hypotheses!$B$50</f>
        <v>-4.11359758333333</v>
      </c>
      <c r="I36" s="12" t="n">
        <f aca="false">-(Tresorerie!I11+Tresorerie!I13)/2*Hypotheses!$B$50</f>
        <v>-5.34538170833333</v>
      </c>
      <c r="J36" s="12" t="n">
        <f aca="false">-(Tresorerie!J11+Tresorerie!J13)/2*Hypotheses!$B$50</f>
        <v>-6.013579</v>
      </c>
      <c r="K36" s="12" t="n">
        <f aca="false">-(Tresorerie!K11+Tresorerie!K13)/2*Hypotheses!$B$50</f>
        <v>-5.84723425</v>
      </c>
      <c r="L36" s="12" t="n">
        <f aca="false">-(Tresorerie!L11+Tresorerie!L13)/2*Hypotheses!$B$50</f>
        <v>-5.35574325</v>
      </c>
      <c r="M36" s="12" t="n">
        <f aca="false">-(Tresorerie!M11+Tresorerie!M13)/2*Hypotheses!$B$50</f>
        <v>-4.86425225</v>
      </c>
      <c r="N36" s="12" t="n">
        <f aca="false">-(Tresorerie!N11+Tresorerie!N13)/2*Hypotheses!$B$50</f>
        <v>-4.37276125</v>
      </c>
    </row>
    <row r="37" customFormat="false" ht="15" hidden="false" customHeight="false" outlineLevel="0" collapsed="false">
      <c r="A37" s="3" t="s">
        <v>225</v>
      </c>
      <c r="B37" s="8" t="s">
        <v>106</v>
      </c>
      <c r="C37" s="29" t="n">
        <f aca="false">C35+C36</f>
        <v>-1.490459</v>
      </c>
      <c r="D37" s="29" t="n">
        <f aca="false">D35+D36</f>
        <v>-1.767871</v>
      </c>
      <c r="E37" s="29" t="n">
        <f aca="false">E35+E36</f>
        <v>-2.065285</v>
      </c>
      <c r="F37" s="29" t="n">
        <f aca="false">F35+F36</f>
        <v>-3.021140575</v>
      </c>
      <c r="G37" s="29" t="n">
        <f aca="false">G35+G36</f>
        <v>-8.121621698188</v>
      </c>
      <c r="H37" s="29" t="n">
        <f aca="false">H35+H36</f>
        <v>-6.52793645354477</v>
      </c>
      <c r="I37" s="29" t="n">
        <f aca="false">I35+I36</f>
        <v>-2.5185071935726</v>
      </c>
      <c r="J37" s="29" t="n">
        <f aca="false">J35+J36</f>
        <v>4.43865237551082</v>
      </c>
      <c r="K37" s="29" t="n">
        <f aca="false">K35+K36</f>
        <v>11.4414589162736</v>
      </c>
      <c r="L37" s="29" t="n">
        <f aca="false">L35+L36</f>
        <v>14.9055661819812</v>
      </c>
      <c r="M37" s="29" t="n">
        <f aca="false">M35+M36</f>
        <v>16.4307917688262</v>
      </c>
      <c r="N37" s="29" t="n">
        <f aca="false">N35+N36</f>
        <v>17.6157931784683</v>
      </c>
    </row>
    <row r="38" customFormat="false" ht="15" hidden="false" customHeight="false" outlineLevel="0" collapsed="false">
      <c r="A38" s="9" t="s">
        <v>226</v>
      </c>
      <c r="B38" s="8" t="s">
        <v>106</v>
      </c>
      <c r="C38" s="12" t="n">
        <f aca="false">-MAX(0,C37)*Hypotheses!$B$52</f>
        <v>-0</v>
      </c>
      <c r="D38" s="12" t="n">
        <f aca="false">-MAX(0,D37)*Hypotheses!$B$52</f>
        <v>-0</v>
      </c>
      <c r="E38" s="12" t="n">
        <f aca="false">-MAX(0,E37)*Hypotheses!$B$52</f>
        <v>-0</v>
      </c>
      <c r="F38" s="12" t="n">
        <f aca="false">-MAX(0,F37)*Hypotheses!$B$52</f>
        <v>-0</v>
      </c>
      <c r="G38" s="12" t="n">
        <f aca="false">-MAX(0,G37)*Hypotheses!$B$52</f>
        <v>-0</v>
      </c>
      <c r="H38" s="12" t="n">
        <f aca="false">-MAX(0,H37)*Hypotheses!$B$52</f>
        <v>-0</v>
      </c>
      <c r="I38" s="12" t="n">
        <f aca="false">-MAX(0,I37)*Hypotheses!$B$52</f>
        <v>-0</v>
      </c>
      <c r="J38" s="12" t="n">
        <f aca="false">-MAX(0,J37)*Hypotheses!$B$52</f>
        <v>-1.10966309387771</v>
      </c>
      <c r="K38" s="12" t="n">
        <f aca="false">-MAX(0,K37)*Hypotheses!$B$52</f>
        <v>-2.86036472906841</v>
      </c>
      <c r="L38" s="12" t="n">
        <f aca="false">-MAX(0,L37)*Hypotheses!$B$52</f>
        <v>-3.7263915454953</v>
      </c>
      <c r="M38" s="12" t="n">
        <f aca="false">-MAX(0,M37)*Hypotheses!$B$52</f>
        <v>-4.10769794220655</v>
      </c>
      <c r="N38" s="12" t="n">
        <f aca="false">-MAX(0,N37)*Hypotheses!$B$52</f>
        <v>-4.40394829461709</v>
      </c>
    </row>
    <row r="39" customFormat="false" ht="15" hidden="false" customHeight="false" outlineLevel="0" collapsed="false">
      <c r="A39" s="25" t="s">
        <v>227</v>
      </c>
      <c r="B39" s="30" t="s">
        <v>106</v>
      </c>
      <c r="C39" s="26" t="n">
        <f aca="false">C37+C38</f>
        <v>-1.490459</v>
      </c>
      <c r="D39" s="26" t="n">
        <f aca="false">D37+D38</f>
        <v>-1.767871</v>
      </c>
      <c r="E39" s="26" t="n">
        <f aca="false">E37+E38</f>
        <v>-2.065285</v>
      </c>
      <c r="F39" s="26" t="n">
        <f aca="false">F37+F38</f>
        <v>-3.021140575</v>
      </c>
      <c r="G39" s="26" t="n">
        <f aca="false">G37+G38</f>
        <v>-8.121621698188</v>
      </c>
      <c r="H39" s="26" t="n">
        <f aca="false">H37+H38</f>
        <v>-6.52793645354477</v>
      </c>
      <c r="I39" s="26" t="n">
        <f aca="false">I37+I38</f>
        <v>-2.5185071935726</v>
      </c>
      <c r="J39" s="26" t="n">
        <f aca="false">J37+J38</f>
        <v>3.32898928163312</v>
      </c>
      <c r="K39" s="26" t="n">
        <f aca="false">K37+K38</f>
        <v>8.58109418720523</v>
      </c>
      <c r="L39" s="26" t="n">
        <f aca="false">L37+L38</f>
        <v>11.1791746364859</v>
      </c>
      <c r="M39" s="26" t="n">
        <f aca="false">M37+M38</f>
        <v>12.3230938266196</v>
      </c>
      <c r="N39" s="26" t="n">
        <f aca="false">N37+N38</f>
        <v>13.2118448838513</v>
      </c>
    </row>
    <row r="41" customFormat="false" ht="15" hidden="false" customHeight="false" outlineLevel="0" collapsed="false">
      <c r="A41" s="8" t="s">
        <v>228</v>
      </c>
    </row>
    <row r="42" customFormat="false" ht="15" hidden="false" customHeight="false" outlineLevel="0" collapsed="false">
      <c r="A42" s="8" t="s">
        <v>229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15" min="2" style="0" width="11"/>
  </cols>
  <sheetData>
    <row r="1" customFormat="false" ht="17.35" hidden="false" customHeight="false" outlineLevel="0" collapsed="false">
      <c r="A1" s="1" t="s">
        <v>230</v>
      </c>
    </row>
    <row r="2" customFormat="false" ht="15" hidden="false" customHeight="false" outlineLevel="0" collapsed="false">
      <c r="A2" s="8" t="s">
        <v>198</v>
      </c>
    </row>
    <row r="4" customFormat="false" ht="15" hidden="false" customHeight="false" outlineLevel="0" collapsed="false">
      <c r="A4" s="21" t="s">
        <v>176</v>
      </c>
      <c r="B4" s="21" t="s">
        <v>199</v>
      </c>
      <c r="C4" s="28" t="s">
        <v>178</v>
      </c>
      <c r="D4" s="28" t="s">
        <v>179</v>
      </c>
      <c r="E4" s="28" t="s">
        <v>180</v>
      </c>
      <c r="F4" s="28" t="s">
        <v>181</v>
      </c>
      <c r="G4" s="28" t="s">
        <v>182</v>
      </c>
      <c r="H4" s="28" t="s">
        <v>183</v>
      </c>
      <c r="I4" s="28" t="s">
        <v>184</v>
      </c>
      <c r="J4" s="28" t="s">
        <v>185</v>
      </c>
      <c r="K4" s="28" t="s">
        <v>186</v>
      </c>
      <c r="L4" s="28" t="s">
        <v>187</v>
      </c>
      <c r="M4" s="28" t="s">
        <v>188</v>
      </c>
      <c r="N4" s="28" t="s">
        <v>189</v>
      </c>
    </row>
    <row r="6" customFormat="false" ht="15" hidden="false" customHeight="false" outlineLevel="0" collapsed="false">
      <c r="A6" s="5" t="s">
        <v>231</v>
      </c>
      <c r="B6" s="6"/>
      <c r="C6" s="6"/>
      <c r="D6" s="6"/>
      <c r="E6" s="6"/>
      <c r="F6" s="6"/>
      <c r="G6" s="6"/>
      <c r="H6" s="6"/>
      <c r="I6" s="6"/>
      <c r="J6" s="6"/>
      <c r="K6" s="6"/>
      <c r="L6" s="6"/>
      <c r="M6" s="6"/>
      <c r="N6" s="6"/>
    </row>
    <row r="7" customFormat="false" ht="15" hidden="false" customHeight="false" outlineLevel="0" collapsed="false">
      <c r="A7" s="9" t="s">
        <v>232</v>
      </c>
      <c r="B7" s="8" t="s">
        <v>106</v>
      </c>
      <c r="C7" s="12" t="n">
        <f aca="false">Capex!C22</f>
        <v>3.496</v>
      </c>
      <c r="D7" s="12" t="n">
        <f aca="false">Capex!D22</f>
        <v>7.224</v>
      </c>
      <c r="E7" s="12" t="n">
        <f aca="false">Capex!E22</f>
        <v>5.4</v>
      </c>
      <c r="F7" s="12" t="n">
        <f aca="false">Capex!F22</f>
        <v>32.085</v>
      </c>
      <c r="G7" s="12" t="n">
        <f aca="false">Capex!G22</f>
        <v>48.875</v>
      </c>
      <c r="H7" s="12" t="n">
        <f aca="false">Capex!H22</f>
        <v>45.475</v>
      </c>
      <c r="I7" s="12" t="n">
        <f aca="false">Capex!I22</f>
        <v>45.475</v>
      </c>
      <c r="J7" s="12" t="n">
        <f aca="false">Capex!J22</f>
        <v>18.19</v>
      </c>
      <c r="K7" s="12" t="n">
        <f aca="false">Capex!K22</f>
        <v>0</v>
      </c>
      <c r="L7" s="12" t="n">
        <f aca="false">Capex!L22</f>
        <v>0</v>
      </c>
      <c r="M7" s="12" t="n">
        <f aca="false">Capex!M22</f>
        <v>0</v>
      </c>
      <c r="N7" s="12" t="n">
        <f aca="false">Capex!N22</f>
        <v>0</v>
      </c>
    </row>
    <row r="8" customFormat="false" ht="15" hidden="false" customHeight="false" outlineLevel="0" collapsed="false">
      <c r="A8" s="9" t="s">
        <v>233</v>
      </c>
      <c r="B8" s="8" t="s">
        <v>106</v>
      </c>
      <c r="C8" s="12" t="n">
        <f aca="false">C7*(1-Hypotheses!$B$49)</f>
        <v>1.2236</v>
      </c>
      <c r="D8" s="12" t="n">
        <f aca="false">D7*(1-Hypotheses!$B$49)</f>
        <v>2.5284</v>
      </c>
      <c r="E8" s="12" t="n">
        <f aca="false">E7*(1-Hypotheses!$B$49)</f>
        <v>1.89</v>
      </c>
      <c r="F8" s="12" t="n">
        <f aca="false">F7*(1-Hypotheses!$B$49)</f>
        <v>11.22975</v>
      </c>
      <c r="G8" s="12" t="n">
        <f aca="false">G7*(1-Hypotheses!$B$49)</f>
        <v>17.10625</v>
      </c>
      <c r="H8" s="12" t="n">
        <f aca="false">H7*(1-Hypotheses!$B$49)</f>
        <v>15.91625</v>
      </c>
      <c r="I8" s="12" t="n">
        <f aca="false">I7*(1-Hypotheses!$B$49)</f>
        <v>15.91625</v>
      </c>
      <c r="J8" s="12" t="n">
        <f aca="false">J7*(1-Hypotheses!$B$49)</f>
        <v>6.3665</v>
      </c>
      <c r="K8" s="12" t="n">
        <f aca="false">K7*(1-Hypotheses!$B$49)</f>
        <v>0</v>
      </c>
      <c r="L8" s="12" t="n">
        <f aca="false">L7*(1-Hypotheses!$B$49)</f>
        <v>0</v>
      </c>
      <c r="M8" s="12" t="n">
        <f aca="false">M7*(1-Hypotheses!$B$49)</f>
        <v>0</v>
      </c>
      <c r="N8" s="12" t="n">
        <f aca="false">N7*(1-Hypotheses!$B$49)</f>
        <v>0</v>
      </c>
    </row>
    <row r="9" customFormat="false" ht="15" hidden="false" customHeight="false" outlineLevel="0" collapsed="false">
      <c r="A9" s="9" t="s">
        <v>234</v>
      </c>
      <c r="B9" s="8" t="s">
        <v>106</v>
      </c>
      <c r="C9" s="12" t="n">
        <f aca="false">C7*Hypotheses!$B$49</f>
        <v>2.2724</v>
      </c>
      <c r="D9" s="12" t="n">
        <f aca="false">D7*Hypotheses!$B$49</f>
        <v>4.6956</v>
      </c>
      <c r="E9" s="12" t="n">
        <f aca="false">E7*Hypotheses!$B$49</f>
        <v>3.51</v>
      </c>
      <c r="F9" s="12" t="n">
        <f aca="false">F7*Hypotheses!$B$49</f>
        <v>20.85525</v>
      </c>
      <c r="G9" s="12" t="n">
        <f aca="false">G7*Hypotheses!$B$49</f>
        <v>31.76875</v>
      </c>
      <c r="H9" s="12" t="n">
        <f aca="false">H7*Hypotheses!$B$49</f>
        <v>29.55875</v>
      </c>
      <c r="I9" s="12" t="n">
        <f aca="false">I7*Hypotheses!$B$49</f>
        <v>29.55875</v>
      </c>
      <c r="J9" s="12" t="n">
        <f aca="false">J7*Hypotheses!$B$49</f>
        <v>11.8235</v>
      </c>
      <c r="K9" s="12" t="n">
        <f aca="false">K7*Hypotheses!$B$49</f>
        <v>0</v>
      </c>
      <c r="L9" s="12" t="n">
        <f aca="false">L7*Hypotheses!$B$49</f>
        <v>0</v>
      </c>
      <c r="M9" s="12" t="n">
        <f aca="false">M7*Hypotheses!$B$49</f>
        <v>0</v>
      </c>
      <c r="N9" s="12" t="n">
        <f aca="false">N7*Hypotheses!$B$49</f>
        <v>0</v>
      </c>
    </row>
    <row r="10" customFormat="false" ht="15" hidden="false" customHeight="false" outlineLevel="0" collapsed="false">
      <c r="A10" s="9" t="s">
        <v>235</v>
      </c>
      <c r="B10" s="8" t="s">
        <v>106</v>
      </c>
      <c r="C10" s="12" t="n">
        <f aca="false">0</f>
        <v>0</v>
      </c>
      <c r="D10" s="12" t="n">
        <f aca="false">IF(2027&lt;=MIN(Hypotheses!$C$63:$C$66),0,-MIN(C13+D9,SUM($C$9:D9)/Hypotheses!$B$51))</f>
        <v>0</v>
      </c>
      <c r="E10" s="12" t="n">
        <f aca="false">IF(2028&lt;=MIN(Hypotheses!$C$63:$C$66),0,-MIN(D13+E9,SUM($C$9:E9)/Hypotheses!$B$51))</f>
        <v>0</v>
      </c>
      <c r="F10" s="12" t="n">
        <f aca="false">IF(2029&lt;=MIN(Hypotheses!$C$63:$C$66),0,-MIN(E13+F9,SUM($C$9:F9)/Hypotheses!$B$51))</f>
        <v>0</v>
      </c>
      <c r="G10" s="12" t="n">
        <f aca="false">IF(2030&lt;=MIN(Hypotheses!$C$63:$C$66),0,-MIN(F13+G9,SUM($C$9:G9)/Hypotheses!$B$51))</f>
        <v>0</v>
      </c>
      <c r="H10" s="12" t="n">
        <f aca="false">IF(2031&lt;=MIN(Hypotheses!$C$63:$C$66),0,-MIN(G13+H9,SUM($C$9:H9)/Hypotheses!$B$51))</f>
        <v>-6.17738333333333</v>
      </c>
      <c r="I10" s="12" t="n">
        <f aca="false">IF(2032&lt;=MIN(Hypotheses!$C$63:$C$66),0,-MIN(H13+I9,SUM($C$9:I9)/Hypotheses!$B$51))</f>
        <v>-8.14796666666667</v>
      </c>
      <c r="J10" s="12" t="n">
        <f aca="false">IF(2033&lt;=MIN(Hypotheses!$C$63:$C$66),0,-MIN(I13+J9,SUM($C$9:J9)/Hypotheses!$B$51))</f>
        <v>-8.9362</v>
      </c>
      <c r="K10" s="12" t="n">
        <f aca="false">IF(2034&lt;=MIN(Hypotheses!$C$63:$C$66),0,-MIN(J13+K9,SUM($C$9:K9)/Hypotheses!$B$51))</f>
        <v>-8.9362</v>
      </c>
      <c r="L10" s="12" t="n">
        <f aca="false">IF(2035&lt;=MIN(Hypotheses!$C$63:$C$66),0,-MIN(K13+L9,SUM($C$9:L9)/Hypotheses!$B$51))</f>
        <v>-8.9362</v>
      </c>
      <c r="M10" s="12" t="n">
        <f aca="false">IF(2036&lt;=MIN(Hypotheses!$C$63:$C$66),0,-MIN(L13+M9,SUM($C$9:M9)/Hypotheses!$B$51))</f>
        <v>-8.9362</v>
      </c>
      <c r="N10" s="12" t="n">
        <f aca="false">IF(2037&lt;=MIN(Hypotheses!$C$63:$C$66),0,-MIN(M13+N9,SUM($C$9:N9)/Hypotheses!$B$51))</f>
        <v>-8.9362</v>
      </c>
    </row>
    <row r="11" customFormat="false" ht="15" hidden="false" customHeight="false" outlineLevel="0" collapsed="false">
      <c r="A11" s="9" t="s">
        <v>236</v>
      </c>
      <c r="B11" s="8" t="s">
        <v>106</v>
      </c>
      <c r="C11" s="12" t="n">
        <f aca="false">0</f>
        <v>0</v>
      </c>
      <c r="D11" s="12" t="n">
        <f aca="false">C13</f>
        <v>2.2724</v>
      </c>
      <c r="E11" s="12" t="n">
        <f aca="false">D13</f>
        <v>6.968</v>
      </c>
      <c r="F11" s="12" t="n">
        <f aca="false">E13</f>
        <v>10.478</v>
      </c>
      <c r="G11" s="12" t="n">
        <f aca="false">F13</f>
        <v>31.33325</v>
      </c>
      <c r="H11" s="12" t="n">
        <f aca="false">G13</f>
        <v>63.102</v>
      </c>
      <c r="I11" s="12" t="n">
        <f aca="false">H13</f>
        <v>86.4833666666667</v>
      </c>
      <c r="J11" s="12" t="n">
        <f aca="false">I13</f>
        <v>107.89415</v>
      </c>
      <c r="K11" s="12" t="n">
        <f aca="false">J13</f>
        <v>110.78145</v>
      </c>
      <c r="L11" s="12" t="n">
        <f aca="false">K13</f>
        <v>101.84525</v>
      </c>
      <c r="M11" s="12" t="n">
        <f aca="false">L13</f>
        <v>92.90905</v>
      </c>
      <c r="N11" s="12" t="n">
        <f aca="false">M13</f>
        <v>83.97285</v>
      </c>
    </row>
    <row r="12" customFormat="false" ht="15" hidden="false" customHeight="false" outlineLevel="0" collapsed="false">
      <c r="A12" s="9" t="s">
        <v>237</v>
      </c>
      <c r="B12" s="8" t="s">
        <v>106</v>
      </c>
      <c r="C12" s="12" t="n">
        <f aca="false">C9+C10</f>
        <v>2.2724</v>
      </c>
      <c r="D12" s="12" t="n">
        <f aca="false">D9+D10</f>
        <v>4.6956</v>
      </c>
      <c r="E12" s="12" t="n">
        <f aca="false">E9+E10</f>
        <v>3.51</v>
      </c>
      <c r="F12" s="12" t="n">
        <f aca="false">F9+F10</f>
        <v>20.85525</v>
      </c>
      <c r="G12" s="12" t="n">
        <f aca="false">G9+G10</f>
        <v>31.76875</v>
      </c>
      <c r="H12" s="12" t="n">
        <f aca="false">H9+H10</f>
        <v>23.3813666666667</v>
      </c>
      <c r="I12" s="12" t="n">
        <f aca="false">I9+I10</f>
        <v>21.4107833333333</v>
      </c>
      <c r="J12" s="12" t="n">
        <f aca="false">J9+J10</f>
        <v>2.8873</v>
      </c>
      <c r="K12" s="12" t="n">
        <f aca="false">K9+K10</f>
        <v>-8.9362</v>
      </c>
      <c r="L12" s="12" t="n">
        <f aca="false">L9+L10</f>
        <v>-8.9362</v>
      </c>
      <c r="M12" s="12" t="n">
        <f aca="false">M9+M10</f>
        <v>-8.9362</v>
      </c>
      <c r="N12" s="12" t="n">
        <f aca="false">N9+N10</f>
        <v>-8.9362</v>
      </c>
    </row>
    <row r="13" customFormat="false" ht="15" hidden="false" customHeight="false" outlineLevel="0" collapsed="false">
      <c r="A13" s="3" t="s">
        <v>238</v>
      </c>
      <c r="B13" s="8" t="s">
        <v>106</v>
      </c>
      <c r="C13" s="29" t="n">
        <f aca="false">C11+C12</f>
        <v>2.2724</v>
      </c>
      <c r="D13" s="29" t="n">
        <f aca="false">D11+D12</f>
        <v>6.968</v>
      </c>
      <c r="E13" s="29" t="n">
        <f aca="false">E11+E12</f>
        <v>10.478</v>
      </c>
      <c r="F13" s="29" t="n">
        <f aca="false">F11+F12</f>
        <v>31.33325</v>
      </c>
      <c r="G13" s="29" t="n">
        <f aca="false">G11+G12</f>
        <v>63.102</v>
      </c>
      <c r="H13" s="29" t="n">
        <f aca="false">H11+H12</f>
        <v>86.4833666666667</v>
      </c>
      <c r="I13" s="29" t="n">
        <f aca="false">I11+I12</f>
        <v>107.89415</v>
      </c>
      <c r="J13" s="29" t="n">
        <f aca="false">J11+J12</f>
        <v>110.78145</v>
      </c>
      <c r="K13" s="29" t="n">
        <f aca="false">K11+K12</f>
        <v>101.84525</v>
      </c>
      <c r="L13" s="29" t="n">
        <f aca="false">L11+L12</f>
        <v>92.90905</v>
      </c>
      <c r="M13" s="29" t="n">
        <f aca="false">M11+M12</f>
        <v>83.97285</v>
      </c>
      <c r="N13" s="29" t="n">
        <f aca="false">N11+N12</f>
        <v>75.03665</v>
      </c>
    </row>
    <row r="14" customFormat="false" ht="15" hidden="false" customHeight="false" outlineLevel="0" collapsed="false">
      <c r="A14" s="9" t="s">
        <v>239</v>
      </c>
      <c r="B14" s="8" t="s">
        <v>106</v>
      </c>
      <c r="C14" s="12" t="n">
        <f aca="false">C8</f>
        <v>1.2236</v>
      </c>
      <c r="D14" s="12" t="n">
        <f aca="false">C14+D8</f>
        <v>3.752</v>
      </c>
      <c r="E14" s="12" t="n">
        <f aca="false">D14+E8</f>
        <v>5.642</v>
      </c>
      <c r="F14" s="12" t="n">
        <f aca="false">E14+F8</f>
        <v>16.87175</v>
      </c>
      <c r="G14" s="12" t="n">
        <f aca="false">F14+G8</f>
        <v>33.978</v>
      </c>
      <c r="H14" s="12" t="n">
        <f aca="false">G14+H8</f>
        <v>49.89425</v>
      </c>
      <c r="I14" s="12" t="n">
        <f aca="false">H14+I8</f>
        <v>65.8105</v>
      </c>
      <c r="J14" s="12" t="n">
        <f aca="false">I14+J8</f>
        <v>72.177</v>
      </c>
      <c r="K14" s="12" t="n">
        <f aca="false">J14+K8</f>
        <v>72.177</v>
      </c>
      <c r="L14" s="12" t="n">
        <f aca="false">K14+L8</f>
        <v>72.177</v>
      </c>
      <c r="M14" s="12" t="n">
        <f aca="false">L14+M8</f>
        <v>72.177</v>
      </c>
      <c r="N14" s="12" t="n">
        <f aca="false">M14+N8</f>
        <v>72.177</v>
      </c>
    </row>
    <row r="16" customFormat="false" ht="15" hidden="false" customHeight="false" outlineLevel="0" collapsed="false">
      <c r="A16" s="5" t="s">
        <v>240</v>
      </c>
      <c r="B16" s="6"/>
      <c r="C16" s="6"/>
      <c r="D16" s="6"/>
      <c r="E16" s="6"/>
      <c r="F16" s="6"/>
      <c r="G16" s="6"/>
      <c r="H16" s="6"/>
      <c r="I16" s="6"/>
      <c r="J16" s="6"/>
      <c r="K16" s="6"/>
      <c r="L16" s="6"/>
      <c r="M16" s="6"/>
      <c r="N16" s="6"/>
    </row>
    <row r="17" customFormat="false" ht="15" hidden="false" customHeight="false" outlineLevel="0" collapsed="false">
      <c r="A17" s="9" t="s">
        <v>219</v>
      </c>
      <c r="B17" s="8" t="s">
        <v>106</v>
      </c>
      <c r="C17" s="12" t="n">
        <f aca="false">'Compte de resultat'!C30</f>
        <v>-1.427968</v>
      </c>
      <c r="D17" s="12" t="n">
        <f aca="false">'Compte de resultat'!D30</f>
        <v>-1.51376</v>
      </c>
      <c r="E17" s="12" t="n">
        <f aca="false">'Compte de resultat'!E30</f>
        <v>-1.58552</v>
      </c>
      <c r="F17" s="12" t="n">
        <f aca="false">'Compte de resultat'!F30</f>
        <v>-1.8713312</v>
      </c>
      <c r="G17" s="12" t="n">
        <f aca="false">'Compte de resultat'!G30</f>
        <v>-0.185252323187999</v>
      </c>
      <c r="H17" s="12" t="n">
        <f aca="false">'Compte de resultat'!H30</f>
        <v>5.42618612978856</v>
      </c>
      <c r="I17" s="12" t="n">
        <f aca="false">'Compte de resultat'!I30</f>
        <v>13.1685245147607</v>
      </c>
      <c r="J17" s="12" t="n">
        <f aca="false">'Compte de resultat'!J30</f>
        <v>21.7943313755108</v>
      </c>
      <c r="K17" s="12" t="n">
        <f aca="false">'Compte de resultat'!K30</f>
        <v>28.6307931662736</v>
      </c>
      <c r="L17" s="12" t="n">
        <f aca="false">'Compte de resultat'!L30</f>
        <v>31.6034094319812</v>
      </c>
      <c r="M17" s="12" t="n">
        <f aca="false">'Compte de resultat'!M30</f>
        <v>32.6371440188262</v>
      </c>
      <c r="N17" s="12" t="n">
        <f aca="false">'Compte de resultat'!N30</f>
        <v>33.3306544284684</v>
      </c>
    </row>
    <row r="18" customFormat="false" ht="15" hidden="false" customHeight="false" outlineLevel="0" collapsed="false">
      <c r="A18" s="9" t="s">
        <v>226</v>
      </c>
      <c r="B18" s="8" t="s">
        <v>106</v>
      </c>
      <c r="C18" s="12" t="n">
        <f aca="false">'Compte de resultat'!C38</f>
        <v>-0</v>
      </c>
      <c r="D18" s="12" t="n">
        <f aca="false">'Compte de resultat'!D38</f>
        <v>-0</v>
      </c>
      <c r="E18" s="12" t="n">
        <f aca="false">'Compte de resultat'!E38</f>
        <v>-0</v>
      </c>
      <c r="F18" s="12" t="n">
        <f aca="false">'Compte de resultat'!F38</f>
        <v>-0</v>
      </c>
      <c r="G18" s="12" t="n">
        <f aca="false">'Compte de resultat'!G38</f>
        <v>-0</v>
      </c>
      <c r="H18" s="12" t="n">
        <f aca="false">'Compte de resultat'!H38</f>
        <v>-0</v>
      </c>
      <c r="I18" s="12" t="n">
        <f aca="false">'Compte de resultat'!I38</f>
        <v>-0</v>
      </c>
      <c r="J18" s="12" t="n">
        <f aca="false">'Compte de resultat'!J38</f>
        <v>-1.10966309387771</v>
      </c>
      <c r="K18" s="12" t="n">
        <f aca="false">'Compte de resultat'!K38</f>
        <v>-2.86036472906841</v>
      </c>
      <c r="L18" s="12" t="n">
        <f aca="false">'Compte de resultat'!L38</f>
        <v>-3.7263915454953</v>
      </c>
      <c r="M18" s="12" t="n">
        <f aca="false">'Compte de resultat'!M38</f>
        <v>-4.10769794220655</v>
      </c>
      <c r="N18" s="12" t="n">
        <f aca="false">'Compte de resultat'!N38</f>
        <v>-4.40394829461709</v>
      </c>
    </row>
    <row r="19" customFormat="false" ht="15" hidden="false" customHeight="false" outlineLevel="0" collapsed="false">
      <c r="A19" s="9" t="s">
        <v>241</v>
      </c>
      <c r="B19" s="8" t="s">
        <v>106</v>
      </c>
      <c r="C19" s="12" t="n">
        <f aca="false">-('Compte de resultat'!C20-0)*30/365</f>
        <v>-0</v>
      </c>
      <c r="D19" s="12" t="n">
        <f aca="false">-('Compte de resultat'!D20-'Compte de resultat'!C20)*30/365</f>
        <v>-0</v>
      </c>
      <c r="E19" s="12" t="n">
        <f aca="false">-('Compte de resultat'!E20-'Compte de resultat'!D20)*30/365</f>
        <v>-0</v>
      </c>
      <c r="F19" s="12" t="n">
        <f aca="false">-('Compte de resultat'!F20-'Compte de resultat'!E20)*30/365</f>
        <v>-0</v>
      </c>
      <c r="G19" s="12" t="n">
        <f aca="false">-('Compte de resultat'!G20-'Compte de resultat'!F20)*30/365</f>
        <v>-0.496056636900986</v>
      </c>
      <c r="H19" s="12" t="n">
        <f aca="false">-('Compte de resultat'!H20-'Compte de resultat'!G20)*30/365</f>
        <v>-0.960879978708788</v>
      </c>
      <c r="I19" s="12" t="n">
        <f aca="false">-('Compte de resultat'!I20-'Compte de resultat'!H20)*30/365</f>
        <v>-1.2221512346209</v>
      </c>
      <c r="J19" s="12" t="n">
        <f aca="false">-('Compte de resultat'!J20-'Compte de resultat'!I20)*30/365</f>
        <v>-1.31391476965011</v>
      </c>
      <c r="K19" s="12" t="n">
        <f aca="false">-('Compte de resultat'!K20-'Compte de resultat'!J20)*30/365</f>
        <v>-0.829130177254389</v>
      </c>
      <c r="L19" s="12" t="n">
        <f aca="false">-('Compte de resultat'!L20-'Compte de resultat'!K20)*30/365</f>
        <v>-0.380136831601567</v>
      </c>
      <c r="M19" s="12" t="n">
        <f aca="false">-('Compte de resultat'!M20-'Compte de resultat'!L20)*30/365</f>
        <v>-0.154684458731526</v>
      </c>
      <c r="N19" s="12" t="n">
        <f aca="false">-('Compte de resultat'!N20-'Compte de resultat'!M20)*30/365</f>
        <v>-0.115763173126303</v>
      </c>
    </row>
    <row r="20" customFormat="false" ht="15" hidden="false" customHeight="false" outlineLevel="0" collapsed="false">
      <c r="A20" s="9" t="s">
        <v>242</v>
      </c>
      <c r="B20" s="8" t="s">
        <v>106</v>
      </c>
      <c r="C20" s="12" t="n">
        <f aca="false">-C7</f>
        <v>-3.496</v>
      </c>
      <c r="D20" s="12" t="n">
        <f aca="false">-D7</f>
        <v>-7.224</v>
      </c>
      <c r="E20" s="12" t="n">
        <f aca="false">-E7</f>
        <v>-5.4</v>
      </c>
      <c r="F20" s="12" t="n">
        <f aca="false">-F7</f>
        <v>-32.085</v>
      </c>
      <c r="G20" s="12" t="n">
        <f aca="false">-G7</f>
        <v>-48.875</v>
      </c>
      <c r="H20" s="12" t="n">
        <f aca="false">-H7</f>
        <v>-45.475</v>
      </c>
      <c r="I20" s="12" t="n">
        <f aca="false">-I7</f>
        <v>-45.475</v>
      </c>
      <c r="J20" s="12" t="n">
        <f aca="false">-J7</f>
        <v>-18.19</v>
      </c>
      <c r="K20" s="12" t="n">
        <f aca="false">-K7</f>
        <v>-0</v>
      </c>
      <c r="L20" s="12" t="n">
        <f aca="false">-L7</f>
        <v>-0</v>
      </c>
      <c r="M20" s="12" t="n">
        <f aca="false">-M7</f>
        <v>-0</v>
      </c>
      <c r="N20" s="12" t="n">
        <f aca="false">-N7</f>
        <v>-0</v>
      </c>
    </row>
    <row r="21" customFormat="false" ht="15" hidden="false" customHeight="false" outlineLevel="0" collapsed="false">
      <c r="A21" s="25" t="s">
        <v>243</v>
      </c>
      <c r="B21" s="30" t="s">
        <v>106</v>
      </c>
      <c r="C21" s="26" t="n">
        <f aca="false">SUM(C17:C20)</f>
        <v>-4.923968</v>
      </c>
      <c r="D21" s="26" t="n">
        <f aca="false">SUM(D17:D20)</f>
        <v>-8.73776</v>
      </c>
      <c r="E21" s="26" t="n">
        <f aca="false">SUM(E17:E20)</f>
        <v>-6.98552</v>
      </c>
      <c r="F21" s="26" t="n">
        <f aca="false">SUM(F17:F20)</f>
        <v>-33.9563312</v>
      </c>
      <c r="G21" s="26" t="n">
        <f aca="false">SUM(G17:G20)</f>
        <v>-49.556308960089</v>
      </c>
      <c r="H21" s="26" t="n">
        <f aca="false">SUM(H17:H20)</f>
        <v>-41.0096938489202</v>
      </c>
      <c r="I21" s="26" t="n">
        <f aca="false">SUM(I17:I20)</f>
        <v>-33.5286267198602</v>
      </c>
      <c r="J21" s="26" t="n">
        <f aca="false">SUM(J17:J20)</f>
        <v>1.18075351198301</v>
      </c>
      <c r="K21" s="26" t="n">
        <f aca="false">SUM(K17:K20)</f>
        <v>24.9412982599508</v>
      </c>
      <c r="L21" s="26" t="n">
        <f aca="false">SUM(L17:L20)</f>
        <v>27.4968810548843</v>
      </c>
      <c r="M21" s="26" t="n">
        <f aca="false">SUM(M17:M20)</f>
        <v>28.3747616178881</v>
      </c>
      <c r="N21" s="26" t="n">
        <f aca="false">SUM(N17:N20)</f>
        <v>28.810942960725</v>
      </c>
    </row>
    <row r="22" customFormat="false" ht="15" hidden="false" customHeight="false" outlineLevel="0" collapsed="false">
      <c r="A22" s="9" t="s">
        <v>244</v>
      </c>
      <c r="B22" s="8" t="s">
        <v>106</v>
      </c>
      <c r="C22" s="12" t="n">
        <f aca="false">'Compte de resultat'!C36+C10</f>
        <v>-0.062491</v>
      </c>
      <c r="D22" s="12" t="n">
        <f aca="false">'Compte de resultat'!D36+D10</f>
        <v>-0.254111</v>
      </c>
      <c r="E22" s="12" t="n">
        <f aca="false">'Compte de resultat'!E36+E10</f>
        <v>-0.479765</v>
      </c>
      <c r="F22" s="12" t="n">
        <f aca="false">'Compte de resultat'!F36+F10</f>
        <v>-1.149809375</v>
      </c>
      <c r="G22" s="12" t="n">
        <f aca="false">'Compte de resultat'!G36+G10</f>
        <v>-2.596969375</v>
      </c>
      <c r="H22" s="12" t="n">
        <f aca="false">'Compte de resultat'!H36+H10</f>
        <v>-10.2909809166667</v>
      </c>
      <c r="I22" s="12" t="n">
        <f aca="false">'Compte de resultat'!I36+I10</f>
        <v>-13.493348375</v>
      </c>
      <c r="J22" s="12" t="n">
        <f aca="false">'Compte de resultat'!J36+J10</f>
        <v>-14.949779</v>
      </c>
      <c r="K22" s="12" t="n">
        <f aca="false">'Compte de resultat'!K36+K10</f>
        <v>-14.78343425</v>
      </c>
      <c r="L22" s="12" t="n">
        <f aca="false">'Compte de resultat'!L36+L10</f>
        <v>-14.29194325</v>
      </c>
      <c r="M22" s="12" t="n">
        <f aca="false">'Compte de resultat'!M36+M10</f>
        <v>-13.80045225</v>
      </c>
      <c r="N22" s="12" t="n">
        <f aca="false">'Compte de resultat'!N36+N10</f>
        <v>-13.30896125</v>
      </c>
    </row>
    <row r="23" customFormat="false" ht="15" hidden="false" customHeight="false" outlineLevel="0" collapsed="false">
      <c r="A23" s="9" t="s">
        <v>245</v>
      </c>
      <c r="B23" s="8" t="s">
        <v>106</v>
      </c>
      <c r="C23" s="12" t="n">
        <f aca="false">C9</f>
        <v>2.2724</v>
      </c>
      <c r="D23" s="12" t="n">
        <f aca="false">D9</f>
        <v>4.6956</v>
      </c>
      <c r="E23" s="12" t="n">
        <f aca="false">E9</f>
        <v>3.51</v>
      </c>
      <c r="F23" s="12" t="n">
        <f aca="false">F9</f>
        <v>20.85525</v>
      </c>
      <c r="G23" s="12" t="n">
        <f aca="false">G9</f>
        <v>31.76875</v>
      </c>
      <c r="H23" s="12" t="n">
        <f aca="false">H9</f>
        <v>29.55875</v>
      </c>
      <c r="I23" s="12" t="n">
        <f aca="false">I9</f>
        <v>29.55875</v>
      </c>
      <c r="J23" s="12" t="n">
        <f aca="false">J9</f>
        <v>11.8235</v>
      </c>
      <c r="K23" s="12" t="n">
        <f aca="false">K9</f>
        <v>0</v>
      </c>
      <c r="L23" s="12" t="n">
        <f aca="false">L9</f>
        <v>0</v>
      </c>
      <c r="M23" s="12" t="n">
        <f aca="false">M9</f>
        <v>0</v>
      </c>
      <c r="N23" s="12" t="n">
        <f aca="false">N9</f>
        <v>0</v>
      </c>
    </row>
    <row r="24" customFormat="false" ht="15" hidden="false" customHeight="false" outlineLevel="0" collapsed="false">
      <c r="A24" s="25" t="s">
        <v>246</v>
      </c>
      <c r="B24" s="30" t="s">
        <v>106</v>
      </c>
      <c r="C24" s="26" t="n">
        <f aca="false">C21+C22+C23</f>
        <v>-2.714059</v>
      </c>
      <c r="D24" s="26" t="n">
        <f aca="false">D21+D22+D23</f>
        <v>-4.296271</v>
      </c>
      <c r="E24" s="26" t="n">
        <f aca="false">E21+E22+E23</f>
        <v>-3.955285</v>
      </c>
      <c r="F24" s="26" t="n">
        <f aca="false">F21+F22+F23</f>
        <v>-14.250890575</v>
      </c>
      <c r="G24" s="26" t="n">
        <f aca="false">G21+G22+G23</f>
        <v>-20.384528335089</v>
      </c>
      <c r="H24" s="26" t="n">
        <f aca="false">H21+H22+H23</f>
        <v>-21.7419247655869</v>
      </c>
      <c r="I24" s="26" t="n">
        <f aca="false">I21+I22+I23</f>
        <v>-17.4632250948602</v>
      </c>
      <c r="J24" s="26" t="n">
        <f aca="false">J21+J22+J23</f>
        <v>-1.94552548801699</v>
      </c>
      <c r="K24" s="26" t="n">
        <f aca="false">K21+K22+K23</f>
        <v>10.1578640099508</v>
      </c>
      <c r="L24" s="26" t="n">
        <f aca="false">L21+L22+L23</f>
        <v>13.2049378048843</v>
      </c>
      <c r="M24" s="26" t="n">
        <f aca="false">M21+M22+M23</f>
        <v>14.5743093678881</v>
      </c>
      <c r="N24" s="26" t="n">
        <f aca="false">N21+N22+N23</f>
        <v>15.501981710725</v>
      </c>
    </row>
    <row r="25" customFormat="false" ht="15" hidden="false" customHeight="false" outlineLevel="0" collapsed="false">
      <c r="A25" s="9" t="s">
        <v>247</v>
      </c>
      <c r="B25" s="8" t="s">
        <v>106</v>
      </c>
      <c r="C25" s="12" t="n">
        <f aca="false">C24</f>
        <v>-2.714059</v>
      </c>
      <c r="D25" s="12" t="n">
        <f aca="false">C25+D24</f>
        <v>-7.01033</v>
      </c>
      <c r="E25" s="12" t="n">
        <f aca="false">D25+E24</f>
        <v>-10.965615</v>
      </c>
      <c r="F25" s="12" t="n">
        <f aca="false">E25+F24</f>
        <v>-25.216505575</v>
      </c>
      <c r="G25" s="12" t="n">
        <f aca="false">F25+G24</f>
        <v>-45.601033910089</v>
      </c>
      <c r="H25" s="12" t="n">
        <f aca="false">G25+H24</f>
        <v>-67.3429586756759</v>
      </c>
      <c r="I25" s="12" t="n">
        <f aca="false">H25+I24</f>
        <v>-84.806183770536</v>
      </c>
      <c r="J25" s="12" t="n">
        <f aca="false">I25+J24</f>
        <v>-86.751709258553</v>
      </c>
      <c r="K25" s="12" t="n">
        <f aca="false">J25+K24</f>
        <v>-76.5938452486022</v>
      </c>
      <c r="L25" s="12" t="n">
        <f aca="false">K25+L24</f>
        <v>-63.3889074437178</v>
      </c>
      <c r="M25" s="12" t="n">
        <f aca="false">L25+M24</f>
        <v>-48.8145980758297</v>
      </c>
      <c r="N25" s="12" t="n">
        <f aca="false">M25+N24</f>
        <v>-33.3126163651048</v>
      </c>
    </row>
    <row r="27" customFormat="false" ht="15" hidden="false" customHeight="false" outlineLevel="0" collapsed="false">
      <c r="A27" s="5" t="s">
        <v>248</v>
      </c>
      <c r="B27" s="6"/>
      <c r="C27" s="6"/>
      <c r="D27" s="6"/>
      <c r="E27" s="6"/>
      <c r="F27" s="6"/>
      <c r="G27" s="6"/>
      <c r="H27" s="6"/>
      <c r="I27" s="6"/>
      <c r="J27" s="6"/>
      <c r="K27" s="6"/>
      <c r="L27" s="6"/>
      <c r="M27" s="6"/>
      <c r="N27" s="6"/>
    </row>
    <row r="28" customFormat="false" ht="15" hidden="false" customHeight="false" outlineLevel="0" collapsed="false">
      <c r="A28" s="9" t="s">
        <v>249</v>
      </c>
      <c r="B28" s="8"/>
      <c r="C28" s="31" t="n">
        <f aca="false">IF(OR(C22=0,C17&lt;=0),0,-C17/C22)</f>
        <v>0</v>
      </c>
      <c r="D28" s="31" t="n">
        <f aca="false">IF(OR(D22=0,D17&lt;=0),0,-D17/D22)</f>
        <v>0</v>
      </c>
      <c r="E28" s="31" t="n">
        <f aca="false">IF(OR(E22=0,E17&lt;=0),0,-E17/E22)</f>
        <v>0</v>
      </c>
      <c r="F28" s="31" t="n">
        <f aca="false">IF(OR(F22=0,F17&lt;=0),0,-F17/F22)</f>
        <v>0</v>
      </c>
      <c r="G28" s="31" t="n">
        <f aca="false">IF(OR(G22=0,G17&lt;=0),0,-G17/G22)</f>
        <v>0</v>
      </c>
      <c r="H28" s="31" t="n">
        <f aca="false">IF(OR(H22=0,H17&lt;=0),0,-H17/H22)</f>
        <v>0.527275890775449</v>
      </c>
      <c r="I28" s="31" t="n">
        <f aca="false">IF(OR(I22=0,I17&lt;=0),0,-I17/I22)</f>
        <v>0.97592711229178</v>
      </c>
      <c r="J28" s="31" t="n">
        <f aca="false">IF(OR(J22=0,J17&lt;=0),0,-J17/J22)</f>
        <v>1.4578363583509</v>
      </c>
      <c r="K28" s="31" t="n">
        <f aca="false">IF(OR(K22=0,K17&lt;=0),0,-K17/K22)</f>
        <v>1.93668079298108</v>
      </c>
      <c r="L28" s="31" t="n">
        <f aca="false">IF(OR(L22=0,L17&lt;=0),0,-L17/L22)</f>
        <v>2.21127448375372</v>
      </c>
      <c r="M28" s="31" t="n">
        <f aca="false">IF(OR(M22=0,M17&lt;=0),0,-M17/M22)</f>
        <v>2.36493293318168</v>
      </c>
      <c r="N28" s="31" t="n">
        <f aca="false">IF(OR(N22=0,N17&lt;=0),0,-N17/N22)</f>
        <v>2.50437684822836</v>
      </c>
    </row>
    <row r="29" customFormat="false" ht="15" hidden="false" customHeight="false" outlineLevel="0" collapsed="false">
      <c r="A29" s="8" t="s">
        <v>250</v>
      </c>
    </row>
    <row r="31" customFormat="false" ht="15" hidden="false" customHeight="false" outlineLevel="0" collapsed="false">
      <c r="A31" s="5" t="s">
        <v>251</v>
      </c>
      <c r="B31" s="6"/>
      <c r="C31" s="6"/>
      <c r="D31" s="6"/>
      <c r="E31" s="6"/>
      <c r="F31" s="6"/>
    </row>
    <row r="32" customFormat="false" ht="15" hidden="false" customHeight="false" outlineLevel="0" collapsed="false">
      <c r="A32" s="9" t="s">
        <v>252</v>
      </c>
      <c r="B32" s="12" t="n">
        <f aca="false">'Compte de resultat'!N30*Hypotheses!B58</f>
        <v>499.959816427025</v>
      </c>
      <c r="C32" s="8" t="s">
        <v>106</v>
      </c>
    </row>
    <row r="33" customFormat="false" ht="15" hidden="false" customHeight="false" outlineLevel="0" collapsed="false">
      <c r="A33" s="9" t="s">
        <v>253</v>
      </c>
      <c r="B33" s="12" t="n">
        <f aca="false">N13</f>
        <v>75.03665</v>
      </c>
      <c r="C33" s="8" t="s">
        <v>106</v>
      </c>
    </row>
    <row r="34" customFormat="false" ht="15" hidden="false" customHeight="false" outlineLevel="0" collapsed="false">
      <c r="A34" s="3" t="s">
        <v>254</v>
      </c>
      <c r="B34" s="29" t="n">
        <f aca="false">B32-B33</f>
        <v>424.923166427025</v>
      </c>
      <c r="C34" s="8" t="s">
        <v>106</v>
      </c>
    </row>
    <row r="36" customFormat="false" ht="15" hidden="false" customHeight="false" outlineLevel="0" collapsed="false">
      <c r="A36" s="9" t="s">
        <v>255</v>
      </c>
      <c r="B36" s="8" t="s">
        <v>106</v>
      </c>
      <c r="C36" s="12" t="n">
        <f aca="false">C24</f>
        <v>-2.714059</v>
      </c>
      <c r="D36" s="12" t="n">
        <f aca="false">D24</f>
        <v>-4.296271</v>
      </c>
      <c r="E36" s="12" t="n">
        <f aca="false">E24</f>
        <v>-3.955285</v>
      </c>
      <c r="F36" s="12" t="n">
        <f aca="false">F24</f>
        <v>-14.250890575</v>
      </c>
      <c r="G36" s="12" t="n">
        <f aca="false">G24</f>
        <v>-20.384528335089</v>
      </c>
      <c r="H36" s="12" t="n">
        <f aca="false">H24</f>
        <v>-21.7419247655869</v>
      </c>
      <c r="I36" s="12" t="n">
        <f aca="false">I24</f>
        <v>-17.4632250948602</v>
      </c>
      <c r="J36" s="12" t="n">
        <f aca="false">J24</f>
        <v>-1.94552548801699</v>
      </c>
      <c r="K36" s="12" t="n">
        <f aca="false">K24</f>
        <v>10.1578640099508</v>
      </c>
      <c r="L36" s="12" t="n">
        <f aca="false">L24</f>
        <v>13.2049378048843</v>
      </c>
      <c r="M36" s="12" t="n">
        <f aca="false">M24</f>
        <v>14.5743093678881</v>
      </c>
      <c r="N36" s="12" t="n">
        <f aca="false">N24+$B$34</f>
        <v>440.42514813775</v>
      </c>
    </row>
    <row r="37" customFormat="false" ht="15" hidden="false" customHeight="false" outlineLevel="0" collapsed="false">
      <c r="A37" s="25" t="s">
        <v>256</v>
      </c>
      <c r="B37" s="27" t="n">
        <f aca="false">IFERROR(IRR(C36:N36),0)</f>
        <v>0.278431831494116</v>
      </c>
    </row>
    <row r="38" customFormat="false" ht="15" hidden="false" customHeight="false" outlineLevel="0" collapsed="false">
      <c r="A38" s="3" t="s">
        <v>257</v>
      </c>
      <c r="B38" s="29" t="n">
        <f aca="false">NPV(Hypotheses!B55,C36:N36)</f>
        <v>124.832108855225</v>
      </c>
      <c r="C38" s="8" t="s">
        <v>106</v>
      </c>
    </row>
    <row r="39" customFormat="false" ht="15" hidden="false" customHeight="false" outlineLevel="0" collapsed="false">
      <c r="A39" s="9" t="s">
        <v>258</v>
      </c>
      <c r="B39" s="32" t="n">
        <f aca="false">IFERROR((SUMIF(C36:N36,"&gt;0")) / N14,0)</f>
        <v>6.62762735110179</v>
      </c>
    </row>
    <row r="40" customFormat="false" ht="15" hidden="false" customHeight="false" outlineLevel="0" collapsed="false">
      <c r="A40" s="7" t="s">
        <v>259</v>
      </c>
      <c r="B40" s="33" t="n">
        <f aca="false">N14</f>
        <v>72.177</v>
      </c>
      <c r="C40" s="8" t="s">
        <v>106</v>
      </c>
    </row>
    <row r="42" customFormat="false" ht="15" hidden="false" customHeight="false" outlineLevel="0" collapsed="false">
      <c r="A42" s="34" t="s">
        <v>260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10" min="2" style="0" width="13"/>
  </cols>
  <sheetData>
    <row r="1" customFormat="false" ht="17.35" hidden="false" customHeight="false" outlineLevel="0" collapsed="false">
      <c r="A1" s="1" t="s">
        <v>261</v>
      </c>
    </row>
    <row r="2" customFormat="false" ht="15" hidden="false" customHeight="false" outlineLevel="0" collapsed="false">
      <c r="A2" s="8" t="s">
        <v>262</v>
      </c>
    </row>
    <row r="4" customFormat="false" ht="15" hidden="false" customHeight="false" outlineLevel="0" collapsed="false">
      <c r="A4" s="35" t="s">
        <v>263</v>
      </c>
    </row>
    <row r="5" customFormat="false" ht="15" hidden="false" customHeight="false" outlineLevel="0" collapsed="false">
      <c r="A5" s="9" t="s">
        <v>264</v>
      </c>
      <c r="B5" s="36" t="n">
        <f aca="false">Hypotheses!B5</f>
        <v>20</v>
      </c>
    </row>
    <row r="6" customFormat="false" ht="15" hidden="false" customHeight="false" outlineLevel="0" collapsed="false">
      <c r="A6" s="9" t="s">
        <v>265</v>
      </c>
      <c r="B6" s="37" t="n">
        <f aca="false">Hypotheses!B16</f>
        <v>1.2</v>
      </c>
    </row>
    <row r="7" customFormat="false" ht="15" hidden="false" customHeight="false" outlineLevel="0" collapsed="false">
      <c r="A7" s="9" t="s">
        <v>266</v>
      </c>
      <c r="B7" s="38" t="n">
        <f aca="false">Hypotheses!B17</f>
        <v>0.8</v>
      </c>
    </row>
    <row r="8" customFormat="false" ht="15" hidden="false" customHeight="false" outlineLevel="0" collapsed="false">
      <c r="A8" s="9" t="s">
        <v>267</v>
      </c>
      <c r="B8" s="36" t="n">
        <f aca="false">Hypotheses!B28</f>
        <v>95</v>
      </c>
    </row>
    <row r="9" customFormat="false" ht="15" hidden="false" customHeight="false" outlineLevel="0" collapsed="false">
      <c r="A9" s="9" t="s">
        <v>268</v>
      </c>
      <c r="B9" s="38" t="n">
        <f aca="false">Hypotheses!B30</f>
        <v>0.08</v>
      </c>
    </row>
    <row r="10" customFormat="false" ht="15" hidden="false" customHeight="false" outlineLevel="0" collapsed="false">
      <c r="A10" s="9" t="s">
        <v>269</v>
      </c>
      <c r="B10" s="36" t="n">
        <f aca="false">Hypotheses!B43</f>
        <v>400000</v>
      </c>
    </row>
    <row r="11" customFormat="false" ht="15" hidden="false" customHeight="false" outlineLevel="0" collapsed="false">
      <c r="A11" s="9" t="s">
        <v>270</v>
      </c>
      <c r="B11" s="24" t="n">
        <f aca="false">Hypotheses!B45</f>
        <v>1.4</v>
      </c>
    </row>
    <row r="12" customFormat="false" ht="15" hidden="false" customHeight="false" outlineLevel="0" collapsed="false">
      <c r="A12" s="9" t="s">
        <v>271</v>
      </c>
      <c r="B12" s="24" t="n">
        <f aca="false">Capex!B11</f>
        <v>206.22</v>
      </c>
    </row>
    <row r="15" customFormat="false" ht="15" hidden="false" customHeight="false" outlineLevel="0" collapsed="false">
      <c r="A15" s="35" t="s">
        <v>272</v>
      </c>
    </row>
    <row r="16" customFormat="false" ht="15" hidden="false" customHeight="false" outlineLevel="0" collapsed="false">
      <c r="A16" s="21" t="s">
        <v>87</v>
      </c>
      <c r="B16" s="39" t="n">
        <v>0.7</v>
      </c>
      <c r="C16" s="39" t="n">
        <v>0.8</v>
      </c>
      <c r="D16" s="39" t="n">
        <v>0.85</v>
      </c>
      <c r="E16" s="39" t="n">
        <v>0.9</v>
      </c>
      <c r="F16" s="39" t="n">
        <v>0.95</v>
      </c>
      <c r="G16" s="39" t="n">
        <v>1</v>
      </c>
    </row>
    <row r="17" customFormat="false" ht="15" hidden="false" customHeight="false" outlineLevel="0" collapsed="false">
      <c r="A17" s="40" t="n">
        <v>115</v>
      </c>
      <c r="B17" s="12" t="n">
        <f aca="false">($A17*12*Hypotheses!$B$5*1000*B$16*(1+Hypotheses!$B$27)+Hypotheses!$B$5*1000*B$16*Hypotheses!$B$17*Hypotheses!$B$16*8760/1000*Hypotheses!$B$28*Hypotheses!$B$30)/1000000-Hypotheses!$B$5*Hypotheses!$B$43/1000000-Capex!$B$11*Hypotheses!$B$44-Hypotheses!$B$45</f>
        <v>10.32422144</v>
      </c>
      <c r="C17" s="12" t="n">
        <f aca="false">($A17*12*Hypotheses!$B$5*1000*C$16*(1+Hypotheses!$B$27)+Hypotheses!$B$5*1000*C$16*Hypotheses!$B$17*Hypotheses!$B$16*8760/1000*Hypotheses!$B$28*Hypotheses!$B$30)/1000000-Hypotheses!$B$5*Hypotheses!$B$43/1000000-Capex!$B$11*Hypotheses!$B$44-Hypotheses!$B$45</f>
        <v>13.37764736</v>
      </c>
      <c r="D17" s="12" t="n">
        <f aca="false">($A17*12*Hypotheses!$B$5*1000*D$16*(1+Hypotheses!$B$27)+Hypotheses!$B$5*1000*D$16*Hypotheses!$B$17*Hypotheses!$B$16*8760/1000*Hypotheses!$B$28*Hypotheses!$B$30)/1000000-Hypotheses!$B$5*Hypotheses!$B$43/1000000-Capex!$B$11*Hypotheses!$B$44-Hypotheses!$B$45</f>
        <v>14.90436032</v>
      </c>
      <c r="E17" s="12" t="n">
        <f aca="false">($A17*12*Hypotheses!$B$5*1000*E$16*(1+Hypotheses!$B$27)+Hypotheses!$B$5*1000*E$16*Hypotheses!$B$17*Hypotheses!$B$16*8760/1000*Hypotheses!$B$28*Hypotheses!$B$30)/1000000-Hypotheses!$B$5*Hypotheses!$B$43/1000000-Capex!$B$11*Hypotheses!$B$44-Hypotheses!$B$45</f>
        <v>16.43107328</v>
      </c>
      <c r="F17" s="12" t="n">
        <f aca="false">($A17*12*Hypotheses!$B$5*1000*F$16*(1+Hypotheses!$B$27)+Hypotheses!$B$5*1000*F$16*Hypotheses!$B$17*Hypotheses!$B$16*8760/1000*Hypotheses!$B$28*Hypotheses!$B$30)/1000000-Hypotheses!$B$5*Hypotheses!$B$43/1000000-Capex!$B$11*Hypotheses!$B$44-Hypotheses!$B$45</f>
        <v>17.95778624</v>
      </c>
      <c r="G17" s="12" t="n">
        <f aca="false">($A17*12*Hypotheses!$B$5*1000*G$16*(1+Hypotheses!$B$27)+Hypotheses!$B$5*1000*G$16*Hypotheses!$B$17*Hypotheses!$B$16*8760/1000*Hypotheses!$B$28*Hypotheses!$B$30)/1000000-Hypotheses!$B$5*Hypotheses!$B$43/1000000-Capex!$B$11*Hypotheses!$B$44-Hypotheses!$B$45</f>
        <v>19.4844992</v>
      </c>
    </row>
    <row r="18" customFormat="false" ht="15" hidden="false" customHeight="false" outlineLevel="0" collapsed="false">
      <c r="A18" s="40" t="n">
        <v>130</v>
      </c>
      <c r="B18" s="12" t="n">
        <f aca="false">($A18*12*Hypotheses!$B$5*1000*B$16*(1+Hypotheses!$B$27)+Hypotheses!$B$5*1000*B$16*Hypotheses!$B$17*Hypotheses!$B$16*8760/1000*Hypotheses!$B$28*Hypotheses!$B$30)/1000000-Hypotheses!$B$5*Hypotheses!$B$43/1000000-Capex!$B$11*Hypotheses!$B$44-Hypotheses!$B$45</f>
        <v>12.99542144</v>
      </c>
      <c r="C18" s="12" t="n">
        <f aca="false">($A18*12*Hypotheses!$B$5*1000*C$16*(1+Hypotheses!$B$27)+Hypotheses!$B$5*1000*C$16*Hypotheses!$B$17*Hypotheses!$B$16*8760/1000*Hypotheses!$B$28*Hypotheses!$B$30)/1000000-Hypotheses!$B$5*Hypotheses!$B$43/1000000-Capex!$B$11*Hypotheses!$B$44-Hypotheses!$B$45</f>
        <v>16.43044736</v>
      </c>
      <c r="D18" s="12" t="n">
        <f aca="false">($A18*12*Hypotheses!$B$5*1000*D$16*(1+Hypotheses!$B$27)+Hypotheses!$B$5*1000*D$16*Hypotheses!$B$17*Hypotheses!$B$16*8760/1000*Hypotheses!$B$28*Hypotheses!$B$30)/1000000-Hypotheses!$B$5*Hypotheses!$B$43/1000000-Capex!$B$11*Hypotheses!$B$44-Hypotheses!$B$45</f>
        <v>18.14796032</v>
      </c>
      <c r="E18" s="12" t="n">
        <f aca="false">($A18*12*Hypotheses!$B$5*1000*E$16*(1+Hypotheses!$B$27)+Hypotheses!$B$5*1000*E$16*Hypotheses!$B$17*Hypotheses!$B$16*8760/1000*Hypotheses!$B$28*Hypotheses!$B$30)/1000000-Hypotheses!$B$5*Hypotheses!$B$43/1000000-Capex!$B$11*Hypotheses!$B$44-Hypotheses!$B$45</f>
        <v>19.86547328</v>
      </c>
      <c r="F18" s="12" t="n">
        <f aca="false">($A18*12*Hypotheses!$B$5*1000*F$16*(1+Hypotheses!$B$27)+Hypotheses!$B$5*1000*F$16*Hypotheses!$B$17*Hypotheses!$B$16*8760/1000*Hypotheses!$B$28*Hypotheses!$B$30)/1000000-Hypotheses!$B$5*Hypotheses!$B$43/1000000-Capex!$B$11*Hypotheses!$B$44-Hypotheses!$B$45</f>
        <v>21.58298624</v>
      </c>
      <c r="G18" s="12" t="n">
        <f aca="false">($A18*12*Hypotheses!$B$5*1000*G$16*(1+Hypotheses!$B$27)+Hypotheses!$B$5*1000*G$16*Hypotheses!$B$17*Hypotheses!$B$16*8760/1000*Hypotheses!$B$28*Hypotheses!$B$30)/1000000-Hypotheses!$B$5*Hypotheses!$B$43/1000000-Capex!$B$11*Hypotheses!$B$44-Hypotheses!$B$45</f>
        <v>23.3004992</v>
      </c>
    </row>
    <row r="19" customFormat="false" ht="15" hidden="false" customHeight="false" outlineLevel="0" collapsed="false">
      <c r="A19" s="40" t="n">
        <v>145</v>
      </c>
      <c r="B19" s="12" t="n">
        <f aca="false">($A19*12*Hypotheses!$B$5*1000*B$16*(1+Hypotheses!$B$27)+Hypotheses!$B$5*1000*B$16*Hypotheses!$B$17*Hypotheses!$B$16*8760/1000*Hypotheses!$B$28*Hypotheses!$B$30)/1000000-Hypotheses!$B$5*Hypotheses!$B$43/1000000-Capex!$B$11*Hypotheses!$B$44-Hypotheses!$B$45</f>
        <v>15.66662144</v>
      </c>
      <c r="C19" s="12" t="n">
        <f aca="false">($A19*12*Hypotheses!$B$5*1000*C$16*(1+Hypotheses!$B$27)+Hypotheses!$B$5*1000*C$16*Hypotheses!$B$17*Hypotheses!$B$16*8760/1000*Hypotheses!$B$28*Hypotheses!$B$30)/1000000-Hypotheses!$B$5*Hypotheses!$B$43/1000000-Capex!$B$11*Hypotheses!$B$44-Hypotheses!$B$45</f>
        <v>19.48324736</v>
      </c>
      <c r="D19" s="12" t="n">
        <f aca="false">($A19*12*Hypotheses!$B$5*1000*D$16*(1+Hypotheses!$B$27)+Hypotheses!$B$5*1000*D$16*Hypotheses!$B$17*Hypotheses!$B$16*8760/1000*Hypotheses!$B$28*Hypotheses!$B$30)/1000000-Hypotheses!$B$5*Hypotheses!$B$43/1000000-Capex!$B$11*Hypotheses!$B$44-Hypotheses!$B$45</f>
        <v>21.39156032</v>
      </c>
      <c r="E19" s="12" t="n">
        <f aca="false">($A19*12*Hypotheses!$B$5*1000*E$16*(1+Hypotheses!$B$27)+Hypotheses!$B$5*1000*E$16*Hypotheses!$B$17*Hypotheses!$B$16*8760/1000*Hypotheses!$B$28*Hypotheses!$B$30)/1000000-Hypotheses!$B$5*Hypotheses!$B$43/1000000-Capex!$B$11*Hypotheses!$B$44-Hypotheses!$B$45</f>
        <v>23.29987328</v>
      </c>
      <c r="F19" s="12" t="n">
        <f aca="false">($A19*12*Hypotheses!$B$5*1000*F$16*(1+Hypotheses!$B$27)+Hypotheses!$B$5*1000*F$16*Hypotheses!$B$17*Hypotheses!$B$16*8760/1000*Hypotheses!$B$28*Hypotheses!$B$30)/1000000-Hypotheses!$B$5*Hypotheses!$B$43/1000000-Capex!$B$11*Hypotheses!$B$44-Hypotheses!$B$45</f>
        <v>25.20818624</v>
      </c>
      <c r="G19" s="12" t="n">
        <f aca="false">($A19*12*Hypotheses!$B$5*1000*G$16*(1+Hypotheses!$B$27)+Hypotheses!$B$5*1000*G$16*Hypotheses!$B$17*Hypotheses!$B$16*8760/1000*Hypotheses!$B$28*Hypotheses!$B$30)/1000000-Hypotheses!$B$5*Hypotheses!$B$43/1000000-Capex!$B$11*Hypotheses!$B$44-Hypotheses!$B$45</f>
        <v>27.1164992</v>
      </c>
    </row>
    <row r="20" customFormat="false" ht="15" hidden="false" customHeight="false" outlineLevel="0" collapsed="false">
      <c r="A20" s="40" t="n">
        <v>160</v>
      </c>
      <c r="B20" s="12" t="n">
        <f aca="false">($A20*12*Hypotheses!$B$5*1000*B$16*(1+Hypotheses!$B$27)+Hypotheses!$B$5*1000*B$16*Hypotheses!$B$17*Hypotheses!$B$16*8760/1000*Hypotheses!$B$28*Hypotheses!$B$30)/1000000-Hypotheses!$B$5*Hypotheses!$B$43/1000000-Capex!$B$11*Hypotheses!$B$44-Hypotheses!$B$45</f>
        <v>18.33782144</v>
      </c>
      <c r="C20" s="12" t="n">
        <f aca="false">($A20*12*Hypotheses!$B$5*1000*C$16*(1+Hypotheses!$B$27)+Hypotheses!$B$5*1000*C$16*Hypotheses!$B$17*Hypotheses!$B$16*8760/1000*Hypotheses!$B$28*Hypotheses!$B$30)/1000000-Hypotheses!$B$5*Hypotheses!$B$43/1000000-Capex!$B$11*Hypotheses!$B$44-Hypotheses!$B$45</f>
        <v>22.53604736</v>
      </c>
      <c r="D20" s="12" t="n">
        <f aca="false">($A20*12*Hypotheses!$B$5*1000*D$16*(1+Hypotheses!$B$27)+Hypotheses!$B$5*1000*D$16*Hypotheses!$B$17*Hypotheses!$B$16*8760/1000*Hypotheses!$B$28*Hypotheses!$B$30)/1000000-Hypotheses!$B$5*Hypotheses!$B$43/1000000-Capex!$B$11*Hypotheses!$B$44-Hypotheses!$B$45</f>
        <v>24.63516032</v>
      </c>
      <c r="E20" s="12" t="n">
        <f aca="false">($A20*12*Hypotheses!$B$5*1000*E$16*(1+Hypotheses!$B$27)+Hypotheses!$B$5*1000*E$16*Hypotheses!$B$17*Hypotheses!$B$16*8760/1000*Hypotheses!$B$28*Hypotheses!$B$30)/1000000-Hypotheses!$B$5*Hypotheses!$B$43/1000000-Capex!$B$11*Hypotheses!$B$44-Hypotheses!$B$45</f>
        <v>26.73427328</v>
      </c>
      <c r="F20" s="12" t="n">
        <f aca="false">($A20*12*Hypotheses!$B$5*1000*F$16*(1+Hypotheses!$B$27)+Hypotheses!$B$5*1000*F$16*Hypotheses!$B$17*Hypotheses!$B$16*8760/1000*Hypotheses!$B$28*Hypotheses!$B$30)/1000000-Hypotheses!$B$5*Hypotheses!$B$43/1000000-Capex!$B$11*Hypotheses!$B$44-Hypotheses!$B$45</f>
        <v>28.83338624</v>
      </c>
      <c r="G20" s="12" t="n">
        <f aca="false">($A20*12*Hypotheses!$B$5*1000*G$16*(1+Hypotheses!$B$27)+Hypotheses!$B$5*1000*G$16*Hypotheses!$B$17*Hypotheses!$B$16*8760/1000*Hypotheses!$B$28*Hypotheses!$B$30)/1000000-Hypotheses!$B$5*Hypotheses!$B$43/1000000-Capex!$B$11*Hypotheses!$B$44-Hypotheses!$B$45</f>
        <v>30.9324992</v>
      </c>
    </row>
    <row r="21" customFormat="false" ht="15" hidden="false" customHeight="false" outlineLevel="0" collapsed="false">
      <c r="A21" s="40" t="n">
        <v>175</v>
      </c>
      <c r="B21" s="12" t="n">
        <f aca="false">($A21*12*Hypotheses!$B$5*1000*B$16*(1+Hypotheses!$B$27)+Hypotheses!$B$5*1000*B$16*Hypotheses!$B$17*Hypotheses!$B$16*8760/1000*Hypotheses!$B$28*Hypotheses!$B$30)/1000000-Hypotheses!$B$5*Hypotheses!$B$43/1000000-Capex!$B$11*Hypotheses!$B$44-Hypotheses!$B$45</f>
        <v>21.00902144</v>
      </c>
      <c r="C21" s="12" t="n">
        <f aca="false">($A21*12*Hypotheses!$B$5*1000*C$16*(1+Hypotheses!$B$27)+Hypotheses!$B$5*1000*C$16*Hypotheses!$B$17*Hypotheses!$B$16*8760/1000*Hypotheses!$B$28*Hypotheses!$B$30)/1000000-Hypotheses!$B$5*Hypotheses!$B$43/1000000-Capex!$B$11*Hypotheses!$B$44-Hypotheses!$B$45</f>
        <v>25.58884736</v>
      </c>
      <c r="D21" s="12" t="n">
        <f aca="false">($A21*12*Hypotheses!$B$5*1000*D$16*(1+Hypotheses!$B$27)+Hypotheses!$B$5*1000*D$16*Hypotheses!$B$17*Hypotheses!$B$16*8760/1000*Hypotheses!$B$28*Hypotheses!$B$30)/1000000-Hypotheses!$B$5*Hypotheses!$B$43/1000000-Capex!$B$11*Hypotheses!$B$44-Hypotheses!$B$45</f>
        <v>27.87876032</v>
      </c>
      <c r="E21" s="12" t="n">
        <f aca="false">($A21*12*Hypotheses!$B$5*1000*E$16*(1+Hypotheses!$B$27)+Hypotheses!$B$5*1000*E$16*Hypotheses!$B$17*Hypotheses!$B$16*8760/1000*Hypotheses!$B$28*Hypotheses!$B$30)/1000000-Hypotheses!$B$5*Hypotheses!$B$43/1000000-Capex!$B$11*Hypotheses!$B$44-Hypotheses!$B$45</f>
        <v>30.16867328</v>
      </c>
      <c r="F21" s="12" t="n">
        <f aca="false">($A21*12*Hypotheses!$B$5*1000*F$16*(1+Hypotheses!$B$27)+Hypotheses!$B$5*1000*F$16*Hypotheses!$B$17*Hypotheses!$B$16*8760/1000*Hypotheses!$B$28*Hypotheses!$B$30)/1000000-Hypotheses!$B$5*Hypotheses!$B$43/1000000-Capex!$B$11*Hypotheses!$B$44-Hypotheses!$B$45</f>
        <v>32.45858624</v>
      </c>
      <c r="G21" s="12" t="n">
        <f aca="false">($A21*12*Hypotheses!$B$5*1000*G$16*(1+Hypotheses!$B$27)+Hypotheses!$B$5*1000*G$16*Hypotheses!$B$17*Hypotheses!$B$16*8760/1000*Hypotheses!$B$28*Hypotheses!$B$30)/1000000-Hypotheses!$B$5*Hypotheses!$B$43/1000000-Capex!$B$11*Hypotheses!$B$44-Hypotheses!$B$45</f>
        <v>34.7484992</v>
      </c>
    </row>
    <row r="22" customFormat="false" ht="15" hidden="false" customHeight="false" outlineLevel="0" collapsed="false">
      <c r="A22" s="40" t="n">
        <v>190</v>
      </c>
      <c r="B22" s="12" t="n">
        <f aca="false">($A22*12*Hypotheses!$B$5*1000*B$16*(1+Hypotheses!$B$27)+Hypotheses!$B$5*1000*B$16*Hypotheses!$B$17*Hypotheses!$B$16*8760/1000*Hypotheses!$B$28*Hypotheses!$B$30)/1000000-Hypotheses!$B$5*Hypotheses!$B$43/1000000-Capex!$B$11*Hypotheses!$B$44-Hypotheses!$B$45</f>
        <v>23.68022144</v>
      </c>
      <c r="C22" s="12" t="n">
        <f aca="false">($A22*12*Hypotheses!$B$5*1000*C$16*(1+Hypotheses!$B$27)+Hypotheses!$B$5*1000*C$16*Hypotheses!$B$17*Hypotheses!$B$16*8760/1000*Hypotheses!$B$28*Hypotheses!$B$30)/1000000-Hypotheses!$B$5*Hypotheses!$B$43/1000000-Capex!$B$11*Hypotheses!$B$44-Hypotheses!$B$45</f>
        <v>28.64164736</v>
      </c>
      <c r="D22" s="12" t="n">
        <f aca="false">($A22*12*Hypotheses!$B$5*1000*D$16*(1+Hypotheses!$B$27)+Hypotheses!$B$5*1000*D$16*Hypotheses!$B$17*Hypotheses!$B$16*8760/1000*Hypotheses!$B$28*Hypotheses!$B$30)/1000000-Hypotheses!$B$5*Hypotheses!$B$43/1000000-Capex!$B$11*Hypotheses!$B$44-Hypotheses!$B$45</f>
        <v>31.12236032</v>
      </c>
      <c r="E22" s="12" t="n">
        <f aca="false">($A22*12*Hypotheses!$B$5*1000*E$16*(1+Hypotheses!$B$27)+Hypotheses!$B$5*1000*E$16*Hypotheses!$B$17*Hypotheses!$B$16*8760/1000*Hypotheses!$B$28*Hypotheses!$B$30)/1000000-Hypotheses!$B$5*Hypotheses!$B$43/1000000-Capex!$B$11*Hypotheses!$B$44-Hypotheses!$B$45</f>
        <v>33.60307328</v>
      </c>
      <c r="F22" s="12" t="n">
        <f aca="false">($A22*12*Hypotheses!$B$5*1000*F$16*(1+Hypotheses!$B$27)+Hypotheses!$B$5*1000*F$16*Hypotheses!$B$17*Hypotheses!$B$16*8760/1000*Hypotheses!$B$28*Hypotheses!$B$30)/1000000-Hypotheses!$B$5*Hypotheses!$B$43/1000000-Capex!$B$11*Hypotheses!$B$44-Hypotheses!$B$45</f>
        <v>36.08378624</v>
      </c>
      <c r="G22" s="12" t="n">
        <f aca="false">($A22*12*Hypotheses!$B$5*1000*G$16*(1+Hypotheses!$B$27)+Hypotheses!$B$5*1000*G$16*Hypotheses!$B$17*Hypotheses!$B$16*8760/1000*Hypotheses!$B$28*Hypotheses!$B$30)/1000000-Hypotheses!$B$5*Hypotheses!$B$43/1000000-Capex!$B$11*Hypotheses!$B$44-Hypotheses!$B$45</f>
        <v>38.5644992</v>
      </c>
    </row>
    <row r="24" customFormat="false" ht="15" hidden="false" customHeight="false" outlineLevel="0" collapsed="false">
      <c r="A24" s="35" t="s">
        <v>273</v>
      </c>
    </row>
    <row r="25" customFormat="false" ht="15" hidden="false" customHeight="false" outlineLevel="0" collapsed="false">
      <c r="A25" s="21" t="s">
        <v>87</v>
      </c>
      <c r="B25" s="39" t="n">
        <v>0.7</v>
      </c>
      <c r="C25" s="39" t="n">
        <v>0.8</v>
      </c>
      <c r="D25" s="39" t="n">
        <v>0.85</v>
      </c>
      <c r="E25" s="39" t="n">
        <v>0.9</v>
      </c>
      <c r="F25" s="39" t="n">
        <v>0.95</v>
      </c>
      <c r="G25" s="39" t="n">
        <v>1</v>
      </c>
    </row>
    <row r="26" customFormat="false" ht="15" hidden="false" customHeight="false" outlineLevel="0" collapsed="false">
      <c r="A26" s="41" t="n">
        <f aca="false">A17</f>
        <v>115</v>
      </c>
      <c r="B26" s="15" t="n">
        <f aca="false">B17/Capex!$B$11</f>
        <v>0.0500641132770827</v>
      </c>
      <c r="C26" s="15" t="n">
        <f aca="false">C17/Capex!$B$11</f>
        <v>0.0648707562797013</v>
      </c>
      <c r="D26" s="15" t="n">
        <f aca="false">D17/Capex!$B$11</f>
        <v>0.0722740777810106</v>
      </c>
      <c r="E26" s="15" t="n">
        <f aca="false">E17/Capex!$B$11</f>
        <v>0.0796773992823199</v>
      </c>
      <c r="F26" s="15" t="n">
        <f aca="false">F17/Capex!$B$11</f>
        <v>0.0870807207836291</v>
      </c>
      <c r="G26" s="15" t="n">
        <f aca="false">G17/Capex!$B$11</f>
        <v>0.0944840422849384</v>
      </c>
    </row>
    <row r="27" customFormat="false" ht="15" hidden="false" customHeight="false" outlineLevel="0" collapsed="false">
      <c r="A27" s="41" t="n">
        <f aca="false">A18</f>
        <v>130</v>
      </c>
      <c r="B27" s="15" t="n">
        <f aca="false">B18/Capex!$B$11</f>
        <v>0.0630172700998933</v>
      </c>
      <c r="C27" s="15" t="n">
        <f aca="false">C18/Capex!$B$11</f>
        <v>0.0796743640771991</v>
      </c>
      <c r="D27" s="15" t="n">
        <f aca="false">D18/Capex!$B$11</f>
        <v>0.088002911065852</v>
      </c>
      <c r="E27" s="15" t="n">
        <f aca="false">E18/Capex!$B$11</f>
        <v>0.0963314580545049</v>
      </c>
      <c r="F27" s="15" t="n">
        <f aca="false">F18/Capex!$B$11</f>
        <v>0.104660005043158</v>
      </c>
      <c r="G27" s="15" t="n">
        <f aca="false">G18/Capex!$B$11</f>
        <v>0.112988552031811</v>
      </c>
    </row>
    <row r="28" customFormat="false" ht="15" hidden="false" customHeight="false" outlineLevel="0" collapsed="false">
      <c r="A28" s="41" t="n">
        <f aca="false">A19</f>
        <v>145</v>
      </c>
      <c r="B28" s="15" t="n">
        <f aca="false">B19/Capex!$B$11</f>
        <v>0.0759704269227039</v>
      </c>
      <c r="C28" s="15" t="n">
        <f aca="false">C19/Capex!$B$11</f>
        <v>0.0944779718746969</v>
      </c>
      <c r="D28" s="15" t="n">
        <f aca="false">D19/Capex!$B$11</f>
        <v>0.103731744350693</v>
      </c>
      <c r="E28" s="15" t="n">
        <f aca="false">E19/Capex!$B$11</f>
        <v>0.11298551682669</v>
      </c>
      <c r="F28" s="15" t="n">
        <f aca="false">F19/Capex!$B$11</f>
        <v>0.122239289302686</v>
      </c>
      <c r="G28" s="15" t="n">
        <f aca="false">G19/Capex!$B$11</f>
        <v>0.131493061778683</v>
      </c>
    </row>
    <row r="29" customFormat="false" ht="15" hidden="false" customHeight="false" outlineLevel="0" collapsed="false">
      <c r="A29" s="41" t="n">
        <f aca="false">A20</f>
        <v>160</v>
      </c>
      <c r="B29" s="15" t="n">
        <f aca="false">B20/Capex!$B$11</f>
        <v>0.0889235837455145</v>
      </c>
      <c r="C29" s="15" t="n">
        <f aca="false">C20/Capex!$B$11</f>
        <v>0.109281579672195</v>
      </c>
      <c r="D29" s="15" t="n">
        <f aca="false">D20/Capex!$B$11</f>
        <v>0.119460577635535</v>
      </c>
      <c r="E29" s="15" t="n">
        <f aca="false">E20/Capex!$B$11</f>
        <v>0.129639575598875</v>
      </c>
      <c r="F29" s="15" t="n">
        <f aca="false">F20/Capex!$B$11</f>
        <v>0.139818573562215</v>
      </c>
      <c r="G29" s="15" t="n">
        <f aca="false">G20/Capex!$B$11</f>
        <v>0.149997571525555</v>
      </c>
    </row>
    <row r="30" customFormat="false" ht="15" hidden="false" customHeight="false" outlineLevel="0" collapsed="false">
      <c r="A30" s="41" t="n">
        <f aca="false">A21</f>
        <v>175</v>
      </c>
      <c r="B30" s="15" t="n">
        <f aca="false">B21/Capex!$B$11</f>
        <v>0.101876740568325</v>
      </c>
      <c r="C30" s="15" t="n">
        <f aca="false">C21/Capex!$B$11</f>
        <v>0.124085187469693</v>
      </c>
      <c r="D30" s="15" t="n">
        <f aca="false">D21/Capex!$B$11</f>
        <v>0.135189410920376</v>
      </c>
      <c r="E30" s="15" t="n">
        <f aca="false">E21/Capex!$B$11</f>
        <v>0.14629363437106</v>
      </c>
      <c r="F30" s="15" t="n">
        <f aca="false">F21/Capex!$B$11</f>
        <v>0.157397857821744</v>
      </c>
      <c r="G30" s="15" t="n">
        <f aca="false">G21/Capex!$B$11</f>
        <v>0.168502081272428</v>
      </c>
    </row>
    <row r="31" customFormat="false" ht="15" hidden="false" customHeight="false" outlineLevel="0" collapsed="false">
      <c r="A31" s="41" t="n">
        <f aca="false">A22</f>
        <v>190</v>
      </c>
      <c r="B31" s="15" t="n">
        <f aca="false">B22/Capex!$B$11</f>
        <v>0.114829897391136</v>
      </c>
      <c r="C31" s="15" t="n">
        <f aca="false">C22/Capex!$B$11</f>
        <v>0.13888879526719</v>
      </c>
      <c r="D31" s="15" t="n">
        <f aca="false">D22/Capex!$B$11</f>
        <v>0.150918244205218</v>
      </c>
      <c r="E31" s="15" t="n">
        <f aca="false">E22/Capex!$B$11</f>
        <v>0.162947693143245</v>
      </c>
      <c r="F31" s="15" t="n">
        <f aca="false">F22/Capex!$B$11</f>
        <v>0.174977142081272</v>
      </c>
      <c r="G31" s="15" t="n">
        <f aca="false">G22/Capex!$B$11</f>
        <v>0.1870065910193</v>
      </c>
    </row>
    <row r="33" customFormat="false" ht="15" hidden="false" customHeight="false" outlineLevel="0" collapsed="false">
      <c r="A33" s="8" t="s">
        <v>274</v>
      </c>
    </row>
    <row r="35" customFormat="false" ht="15" hidden="false" customHeight="false" outlineLevel="0" collapsed="false">
      <c r="A35" s="35" t="s">
        <v>275</v>
      </c>
    </row>
    <row r="36" customFormat="false" ht="15" hidden="false" customHeight="false" outlineLevel="0" collapsed="false">
      <c r="A36" s="9" t="s">
        <v>276</v>
      </c>
      <c r="B36" s="12" t="n">
        <f aca="false">Hypotheses!B5*Hypotheses!B43/1000000+Capex!B11*Hypotheses!B44+Hypotheses!B45</f>
        <v>11.04976</v>
      </c>
      <c r="C36" s="8" t="s">
        <v>106</v>
      </c>
    </row>
    <row r="37" customFormat="false" ht="15" hidden="false" customHeight="false" outlineLevel="0" collapsed="false">
      <c r="A37" s="9" t="s">
        <v>277</v>
      </c>
      <c r="B37" s="12" t="n">
        <f aca="false">Capex!B11*Hypotheses!B49*(Hypotheses!B50/(1-(1+Hypotheses!B50)^-Hypotheses!B51))</f>
        <v>13.3541139797417</v>
      </c>
      <c r="C37" s="8" t="s">
        <v>106</v>
      </c>
    </row>
    <row r="38" customFormat="false" ht="15" hidden="false" customHeight="false" outlineLevel="0" collapsed="false">
      <c r="A38" s="9" t="s">
        <v>278</v>
      </c>
      <c r="B38" s="12" t="n">
        <f aca="false">(Hypotheses!B25*12*1000*(1+Hypotheses!B27)+1000*Hypotheses!B17*Hypotheses!B16*8760/1000*Hypotheses!B28*Hypotheses!B30)/1000000</f>
        <v>1.97191296</v>
      </c>
      <c r="C38" s="8" t="s">
        <v>114</v>
      </c>
    </row>
    <row r="39" customFormat="false" ht="15" hidden="false" customHeight="false" outlineLevel="0" collapsed="false">
      <c r="A39" s="7" t="s">
        <v>279</v>
      </c>
      <c r="B39" s="33" t="n">
        <f aca="false">(B36+B37)/B38</f>
        <v>12.3757358842764</v>
      </c>
      <c r="C39" s="8" t="s">
        <v>52</v>
      </c>
    </row>
    <row r="40" customFormat="false" ht="15" hidden="false" customHeight="false" outlineLevel="0" collapsed="false">
      <c r="A40" s="3" t="s">
        <v>280</v>
      </c>
      <c r="B40" s="42" t="n">
        <f aca="false">B39/Hypotheses!B5</f>
        <v>0.618786794213821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3" min="2" style="0" width="14"/>
    <col collapsed="false" customWidth="true" hidden="false" outlineLevel="0" max="4" min="4" style="0" width="62"/>
  </cols>
  <sheetData>
    <row r="1" customFormat="false" ht="17.35" hidden="false" customHeight="false" outlineLevel="0" collapsed="false">
      <c r="A1" s="1" t="s">
        <v>281</v>
      </c>
    </row>
    <row r="2" customFormat="false" ht="15" hidden="false" customHeight="false" outlineLevel="0" collapsed="false">
      <c r="A2" s="8" t="s">
        <v>282</v>
      </c>
    </row>
    <row r="4" customFormat="false" ht="15" hidden="false" customHeight="false" outlineLevel="0" collapsed="false">
      <c r="A4" s="5" t="s">
        <v>283</v>
      </c>
      <c r="B4" s="6"/>
      <c r="C4" s="6"/>
      <c r="D4" s="6"/>
    </row>
    <row r="5" customFormat="false" ht="15" hidden="false" customHeight="false" outlineLevel="0" collapsed="false">
      <c r="A5" s="9" t="s">
        <v>284</v>
      </c>
    </row>
    <row r="6" customFormat="false" ht="15" hidden="false" customHeight="false" outlineLevel="0" collapsed="false">
      <c r="A6" s="9" t="s">
        <v>285</v>
      </c>
    </row>
    <row r="7" customFormat="false" ht="15" hidden="false" customHeight="false" outlineLevel="0" collapsed="false">
      <c r="A7" s="9" t="s">
        <v>286</v>
      </c>
    </row>
    <row r="9" customFormat="false" ht="15" hidden="false" customHeight="false" outlineLevel="0" collapsed="false">
      <c r="A9" s="5" t="s">
        <v>287</v>
      </c>
      <c r="B9" s="6"/>
      <c r="C9" s="6"/>
      <c r="D9" s="6"/>
      <c r="E9" s="6"/>
      <c r="F9" s="6"/>
      <c r="G9" s="6"/>
      <c r="H9" s="6"/>
    </row>
    <row r="10" customFormat="false" ht="15" hidden="false" customHeight="false" outlineLevel="0" collapsed="false">
      <c r="A10" s="21" t="s">
        <v>164</v>
      </c>
      <c r="B10" s="21" t="s">
        <v>165</v>
      </c>
      <c r="C10" s="21" t="s">
        <v>288</v>
      </c>
    </row>
    <row r="11" customFormat="false" ht="15" hidden="false" customHeight="false" outlineLevel="0" collapsed="false">
      <c r="A11" s="9" t="s">
        <v>289</v>
      </c>
      <c r="B11" s="14" t="n">
        <v>0.5</v>
      </c>
      <c r="C11" s="8" t="s">
        <v>290</v>
      </c>
      <c r="D11" s="8" t="s">
        <v>291</v>
      </c>
    </row>
    <row r="12" customFormat="false" ht="15" hidden="false" customHeight="false" outlineLevel="0" collapsed="false">
      <c r="A12" s="9" t="s">
        <v>292</v>
      </c>
      <c r="B12" s="14" t="n">
        <v>0.4</v>
      </c>
      <c r="C12" s="8" t="s">
        <v>293</v>
      </c>
      <c r="D12" s="8" t="s">
        <v>294</v>
      </c>
    </row>
    <row r="13" customFormat="false" ht="15" hidden="false" customHeight="false" outlineLevel="0" collapsed="false">
      <c r="A13" s="9" t="s">
        <v>295</v>
      </c>
      <c r="B13" s="14" t="n">
        <v>2.5</v>
      </c>
      <c r="C13" s="8" t="s">
        <v>296</v>
      </c>
      <c r="D13" s="8" t="s">
        <v>297</v>
      </c>
    </row>
    <row r="14" customFormat="false" ht="15" hidden="false" customHeight="false" outlineLevel="0" collapsed="false">
      <c r="A14" s="9" t="s">
        <v>298</v>
      </c>
      <c r="B14" s="14" t="n">
        <v>0.9</v>
      </c>
      <c r="C14" s="8" t="s">
        <v>299</v>
      </c>
      <c r="D14" s="8" t="s">
        <v>300</v>
      </c>
    </row>
    <row r="15" customFormat="false" ht="15" hidden="false" customHeight="false" outlineLevel="0" collapsed="false">
      <c r="A15" s="9" t="s">
        <v>301</v>
      </c>
      <c r="B15" s="14" t="n">
        <v>1.2</v>
      </c>
      <c r="C15" s="8" t="s">
        <v>302</v>
      </c>
      <c r="D15" s="8" t="s">
        <v>303</v>
      </c>
    </row>
    <row r="16" customFormat="false" ht="15" hidden="false" customHeight="false" outlineLevel="0" collapsed="false">
      <c r="A16" s="9" t="s">
        <v>304</v>
      </c>
      <c r="B16" s="14" t="n">
        <v>4.3</v>
      </c>
      <c r="C16" s="8" t="s">
        <v>305</v>
      </c>
      <c r="D16" s="8" t="s">
        <v>306</v>
      </c>
    </row>
    <row r="17" customFormat="false" ht="15" hidden="false" customHeight="false" outlineLevel="0" collapsed="false">
      <c r="A17" s="9" t="s">
        <v>307</v>
      </c>
      <c r="B17" s="14" t="n">
        <v>0.8</v>
      </c>
      <c r="C17" s="8" t="s">
        <v>308</v>
      </c>
      <c r="D17" s="8" t="s">
        <v>309</v>
      </c>
    </row>
    <row r="18" customFormat="false" ht="15" hidden="false" customHeight="false" outlineLevel="0" collapsed="false">
      <c r="A18" s="9" t="s">
        <v>310</v>
      </c>
      <c r="B18" s="14" t="n">
        <v>2.4</v>
      </c>
      <c r="C18" s="8" t="s">
        <v>308</v>
      </c>
      <c r="D18" s="8" t="s">
        <v>311</v>
      </c>
    </row>
    <row r="19" customFormat="false" ht="15" hidden="false" customHeight="false" outlineLevel="0" collapsed="false">
      <c r="A19" s="25" t="s">
        <v>312</v>
      </c>
      <c r="B19" s="26" t="n">
        <f aca="false">SUM(B11:B18)</f>
        <v>13</v>
      </c>
    </row>
    <row r="21" customFormat="false" ht="15" hidden="false" customHeight="false" outlineLevel="0" collapsed="false">
      <c r="A21" s="5" t="s">
        <v>313</v>
      </c>
      <c r="B21" s="6"/>
      <c r="C21" s="6"/>
      <c r="D21" s="6"/>
      <c r="E21" s="6"/>
      <c r="F21" s="6"/>
      <c r="G21" s="6"/>
      <c r="H21" s="6"/>
    </row>
    <row r="22" customFormat="false" ht="15" hidden="false" customHeight="false" outlineLevel="0" collapsed="false">
      <c r="A22" s="9" t="s">
        <v>314</v>
      </c>
      <c r="B22" s="36" t="n">
        <f aca="false">Hypotheses!B5</f>
        <v>20</v>
      </c>
      <c r="C22" s="8" t="s">
        <v>52</v>
      </c>
    </row>
    <row r="23" customFormat="false" ht="15" hidden="false" customHeight="false" outlineLevel="0" collapsed="false">
      <c r="A23" s="9" t="s">
        <v>315</v>
      </c>
      <c r="B23" s="24" t="n">
        <f aca="false">Hypotheses!B59</f>
        <v>1.5</v>
      </c>
      <c r="C23" s="8" t="s">
        <v>114</v>
      </c>
    </row>
    <row r="24" customFormat="false" ht="15" hidden="false" customHeight="false" outlineLevel="0" collapsed="false">
      <c r="A24" s="25" t="s">
        <v>316</v>
      </c>
      <c r="B24" s="26" t="n">
        <f aca="false">B22*B23</f>
        <v>30</v>
      </c>
    </row>
    <row r="25" customFormat="false" ht="15" hidden="false" customHeight="false" outlineLevel="0" collapsed="false">
      <c r="A25" s="3" t="s">
        <v>317</v>
      </c>
      <c r="B25" s="29" t="n">
        <f aca="false">B24-B19</f>
        <v>17</v>
      </c>
    </row>
    <row r="26" customFormat="false" ht="15" hidden="false" customHeight="false" outlineLevel="0" collapsed="false">
      <c r="A26" s="7" t="s">
        <v>318</v>
      </c>
      <c r="B26" s="43" t="n">
        <f aca="false">B24/B19</f>
        <v>2.30769230769231</v>
      </c>
    </row>
    <row r="27" customFormat="false" ht="15" hidden="false" customHeight="false" outlineLevel="0" collapsed="false">
      <c r="A27" s="3" t="s">
        <v>319</v>
      </c>
      <c r="B27" s="42" t="n">
        <f aca="false">B26^(1/3.5)-1</f>
        <v>0.269887110201495</v>
      </c>
    </row>
    <row r="29" customFormat="false" ht="15" hidden="false" customHeight="false" outlineLevel="0" collapsed="false">
      <c r="A29" s="5" t="s">
        <v>320</v>
      </c>
      <c r="B29" s="6"/>
      <c r="C29" s="6"/>
      <c r="D29" s="6"/>
      <c r="E29" s="6"/>
      <c r="F29" s="6"/>
      <c r="G29" s="6"/>
      <c r="H29" s="6"/>
    </row>
    <row r="30" customFormat="false" ht="15" hidden="false" customHeight="false" outlineLevel="0" collapsed="false">
      <c r="A30" s="21" t="s">
        <v>321</v>
      </c>
      <c r="B30" s="21" t="s">
        <v>322</v>
      </c>
      <c r="C30" s="21" t="s">
        <v>323</v>
      </c>
    </row>
    <row r="31" customFormat="false" ht="15" hidden="false" customHeight="false" outlineLevel="0" collapsed="false">
      <c r="A31" s="14" t="n">
        <v>0.6</v>
      </c>
      <c r="B31" s="12" t="n">
        <f aca="false">A31*$B$22</f>
        <v>12</v>
      </c>
      <c r="C31" s="32" t="n">
        <f aca="false">B31/$B$19</f>
        <v>0.923076923076923</v>
      </c>
    </row>
    <row r="32" customFormat="false" ht="15" hidden="false" customHeight="false" outlineLevel="0" collapsed="false">
      <c r="A32" s="14" t="n">
        <v>1</v>
      </c>
      <c r="B32" s="12" t="n">
        <f aca="false">A32*$B$22</f>
        <v>20</v>
      </c>
      <c r="C32" s="32" t="n">
        <f aca="false">B32/$B$19</f>
        <v>1.53846153846154</v>
      </c>
    </row>
    <row r="33" customFormat="false" ht="15" hidden="false" customHeight="false" outlineLevel="0" collapsed="false">
      <c r="A33" s="14" t="n">
        <v>1.5</v>
      </c>
      <c r="B33" s="12" t="n">
        <f aca="false">A33*$B$22</f>
        <v>30</v>
      </c>
      <c r="C33" s="32" t="n">
        <f aca="false">B33/$B$19</f>
        <v>2.30769230769231</v>
      </c>
    </row>
    <row r="34" customFormat="false" ht="15" hidden="false" customHeight="false" outlineLevel="0" collapsed="false">
      <c r="A34" s="14" t="n">
        <v>2</v>
      </c>
      <c r="B34" s="12" t="n">
        <f aca="false">A34*$B$22</f>
        <v>40</v>
      </c>
      <c r="C34" s="32" t="n">
        <f aca="false">B34/$B$19</f>
        <v>3.07692307692308</v>
      </c>
    </row>
    <row r="35" customFormat="false" ht="15" hidden="false" customHeight="false" outlineLevel="0" collapsed="false">
      <c r="A35" s="14" t="n">
        <v>2.5</v>
      </c>
      <c r="B35" s="12" t="n">
        <f aca="false">A35*$B$22</f>
        <v>50</v>
      </c>
      <c r="C35" s="32" t="n">
        <f aca="false">B35/$B$19</f>
        <v>3.84615384615385</v>
      </c>
    </row>
    <row r="37" customFormat="false" ht="15" hidden="false" customHeight="false" outlineLevel="0" collapsed="false">
      <c r="A37" s="5" t="s">
        <v>324</v>
      </c>
      <c r="B37" s="6"/>
      <c r="C37" s="6"/>
      <c r="D37" s="6"/>
      <c r="E37" s="6"/>
      <c r="F37" s="6"/>
      <c r="G37" s="6"/>
      <c r="H37" s="6"/>
    </row>
    <row r="38" customFormat="false" ht="27.75" hidden="false" customHeight="true" outlineLevel="0" collapsed="false">
      <c r="A38" s="44" t="s">
        <v>325</v>
      </c>
      <c r="B38" s="44"/>
      <c r="C38" s="44"/>
      <c r="D38" s="44"/>
    </row>
    <row r="39" customFormat="false" ht="27.75" hidden="false" customHeight="true" outlineLevel="0" collapsed="false">
      <c r="A39" s="44" t="s">
        <v>326</v>
      </c>
      <c r="B39" s="44"/>
      <c r="C39" s="44"/>
      <c r="D39" s="44"/>
    </row>
    <row r="40" customFormat="false" ht="27.75" hidden="false" customHeight="true" outlineLevel="0" collapsed="false">
      <c r="A40" s="44" t="s">
        <v>327</v>
      </c>
      <c r="B40" s="44"/>
      <c r="C40" s="44"/>
      <c r="D40" s="44"/>
    </row>
    <row r="41" customFormat="false" ht="27.75" hidden="false" customHeight="true" outlineLevel="0" collapsed="false">
      <c r="A41" s="44" t="s">
        <v>328</v>
      </c>
      <c r="B41" s="44"/>
      <c r="C41" s="44"/>
      <c r="D41" s="44"/>
    </row>
    <row r="42" customFormat="false" ht="27.75" hidden="false" customHeight="true" outlineLevel="0" collapsed="false">
      <c r="A42" s="44" t="s">
        <v>329</v>
      </c>
      <c r="B42" s="44"/>
      <c r="C42" s="44"/>
      <c r="D42" s="44"/>
    </row>
  </sheetData>
  <mergeCells count="5">
    <mergeCell ref="A38:D38"/>
    <mergeCell ref="A39:D39"/>
    <mergeCell ref="A40:D40"/>
    <mergeCell ref="A41:D41"/>
    <mergeCell ref="A42:D4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2026-07-29T12:32:50Z</dcterms:created>
  <dc:creator>openpyxl</dc:creator>
  <dc:description/>
  <dc:language>en-US</dc:language>
  <cp:lastModifiedBy/>
  <dcterms:modified xsi:type="dcterms:W3CDTF">2026-07-29T12:32:50Z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